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Default Extension="png" ContentType="image/png"/>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15" yWindow="1485" windowWidth="20730" windowHeight="11760"/>
  </bookViews>
  <sheets>
    <sheet name="Tables and Charts" sheetId="9" r:id="rId1"/>
    <sheet name="Utility Summary" sheetId="8" r:id="rId2"/>
    <sheet name="Utility Accts" sheetId="1" r:id="rId3"/>
    <sheet name="Fleet Data" sheetId="10" r:id="rId4"/>
    <sheet name="City Categories" sheetId="11" r:id="rId5"/>
    <sheet name="Reference" sheetId="12" r:id="rId6"/>
  </sheets>
  <definedNames>
    <definedName name="_xlnm._FilterDatabase" localSheetId="2" hidden="1">'Utility Accts'!$B$9:$AB$87</definedName>
  </definedNames>
  <calcPr calcId="140001"/>
  <extLst>
    <ext xmlns:mx="http://schemas.microsoft.com/office/mac/excel/2008/main" uri="{7523E5D3-25F3-A5E0-1632-64F254C22452}">
      <mx:ArchID Flags="2"/>
    </ext>
  </extLst>
</workbook>
</file>

<file path=xl/calcChain.xml><?xml version="1.0" encoding="utf-8"?>
<calcChain xmlns="http://schemas.openxmlformats.org/spreadsheetml/2006/main">
  <c r="S70" i="1"/>
  <c r="T70"/>
  <c r="U70"/>
  <c r="V70"/>
  <c r="W70"/>
  <c r="X70"/>
  <c r="Y70"/>
  <c r="Z70"/>
  <c r="AA70"/>
  <c r="AB70"/>
  <c r="S71"/>
  <c r="T71"/>
  <c r="U71"/>
  <c r="V71"/>
  <c r="W71"/>
  <c r="X71"/>
  <c r="Y71"/>
  <c r="Z71"/>
  <c r="AA71"/>
  <c r="AB71"/>
  <c r="S72"/>
  <c r="T72"/>
  <c r="U72"/>
  <c r="V72"/>
  <c r="W72"/>
  <c r="X72"/>
  <c r="Y72"/>
  <c r="Z72"/>
  <c r="AA72"/>
  <c r="AB72"/>
  <c r="S73"/>
  <c r="T73"/>
  <c r="U73"/>
  <c r="V73"/>
  <c r="W73"/>
  <c r="X73"/>
  <c r="Y73"/>
  <c r="Z73"/>
  <c r="AA73"/>
  <c r="AB73"/>
  <c r="S10"/>
  <c r="T10"/>
  <c r="U10"/>
  <c r="V10"/>
  <c r="W10"/>
  <c r="X10"/>
  <c r="Y10"/>
  <c r="Z10"/>
  <c r="AA10"/>
  <c r="AB10"/>
  <c r="S11"/>
  <c r="T11"/>
  <c r="U11"/>
  <c r="V11"/>
  <c r="W11"/>
  <c r="X11"/>
  <c r="Y11"/>
  <c r="Z11"/>
  <c r="AA11"/>
  <c r="AB11"/>
  <c r="S12"/>
  <c r="T12"/>
  <c r="U12"/>
  <c r="V12"/>
  <c r="W12"/>
  <c r="X12"/>
  <c r="Y12"/>
  <c r="Z12"/>
  <c r="AA12"/>
  <c r="AB12"/>
  <c r="S13"/>
  <c r="T13"/>
  <c r="U13"/>
  <c r="V13"/>
  <c r="W13"/>
  <c r="X13"/>
  <c r="Y13"/>
  <c r="Z13"/>
  <c r="AA13"/>
  <c r="AB13"/>
  <c r="S14"/>
  <c r="T14"/>
  <c r="U14"/>
  <c r="V14"/>
  <c r="W14"/>
  <c r="X14"/>
  <c r="Y14"/>
  <c r="Z14"/>
  <c r="AA14"/>
  <c r="AB14"/>
  <c r="S15"/>
  <c r="T15"/>
  <c r="U15"/>
  <c r="V15"/>
  <c r="W15"/>
  <c r="X15"/>
  <c r="Y15"/>
  <c r="Z15"/>
  <c r="AA15"/>
  <c r="AB15"/>
  <c r="S16"/>
  <c r="T16"/>
  <c r="U16"/>
  <c r="V16"/>
  <c r="W16"/>
  <c r="X16"/>
  <c r="Y16"/>
  <c r="Z16"/>
  <c r="AA16"/>
  <c r="AB16"/>
  <c r="S17"/>
  <c r="T17"/>
  <c r="U17"/>
  <c r="V17"/>
  <c r="W17"/>
  <c r="X17"/>
  <c r="Y17"/>
  <c r="Z17"/>
  <c r="AA17"/>
  <c r="AB17"/>
  <c r="S18"/>
  <c r="T18"/>
  <c r="U18"/>
  <c r="V18"/>
  <c r="W18"/>
  <c r="X18"/>
  <c r="Y18"/>
  <c r="Z18"/>
  <c r="AA18"/>
  <c r="AB18"/>
  <c r="S19"/>
  <c r="T19"/>
  <c r="U19"/>
  <c r="V19"/>
  <c r="W19"/>
  <c r="X19"/>
  <c r="Y19"/>
  <c r="Z19"/>
  <c r="AA19"/>
  <c r="AB19"/>
  <c r="S20"/>
  <c r="T20"/>
  <c r="U20"/>
  <c r="V20"/>
  <c r="W20"/>
  <c r="X20"/>
  <c r="Y20"/>
  <c r="Z20"/>
  <c r="AA20"/>
  <c r="AB20"/>
  <c r="S21"/>
  <c r="T21"/>
  <c r="U21"/>
  <c r="V21"/>
  <c r="W21"/>
  <c r="X21"/>
  <c r="Y21"/>
  <c r="Z21"/>
  <c r="AA21"/>
  <c r="AB21"/>
  <c r="S22"/>
  <c r="T22"/>
  <c r="U22"/>
  <c r="V22"/>
  <c r="W22"/>
  <c r="X22"/>
  <c r="Y22"/>
  <c r="Z22"/>
  <c r="AA22"/>
  <c r="AB22"/>
  <c r="S23"/>
  <c r="T23"/>
  <c r="U23"/>
  <c r="V23"/>
  <c r="W23"/>
  <c r="X23"/>
  <c r="Y23"/>
  <c r="Z23"/>
  <c r="AA23"/>
  <c r="AB23"/>
  <c r="S24"/>
  <c r="T24"/>
  <c r="U24"/>
  <c r="V24"/>
  <c r="W24"/>
  <c r="X24"/>
  <c r="Y24"/>
  <c r="Z24"/>
  <c r="AA24"/>
  <c r="AB24"/>
  <c r="S25"/>
  <c r="T25"/>
  <c r="U25"/>
  <c r="V25"/>
  <c r="W25"/>
  <c r="X25"/>
  <c r="Y25"/>
  <c r="Z25"/>
  <c r="AA25"/>
  <c r="AB25"/>
  <c r="S26"/>
  <c r="T26"/>
  <c r="U26"/>
  <c r="V26"/>
  <c r="W26"/>
  <c r="X26"/>
  <c r="Y26"/>
  <c r="Z26"/>
  <c r="AA26"/>
  <c r="AB26"/>
  <c r="S27"/>
  <c r="T27"/>
  <c r="U27"/>
  <c r="V27"/>
  <c r="W27"/>
  <c r="X27"/>
  <c r="Y27"/>
  <c r="Z27"/>
  <c r="AA27"/>
  <c r="AB27"/>
  <c r="S28"/>
  <c r="T28"/>
  <c r="U28"/>
  <c r="V28"/>
  <c r="W28"/>
  <c r="X28"/>
  <c r="Y28"/>
  <c r="Z28"/>
  <c r="AA28"/>
  <c r="AB28"/>
  <c r="S29"/>
  <c r="T29"/>
  <c r="U29"/>
  <c r="V29"/>
  <c r="W29"/>
  <c r="X29"/>
  <c r="Y29"/>
  <c r="Z29"/>
  <c r="AA29"/>
  <c r="AB29"/>
  <c r="S30"/>
  <c r="T30"/>
  <c r="U30"/>
  <c r="V30"/>
  <c r="W30"/>
  <c r="X30"/>
  <c r="Y30"/>
  <c r="Z30"/>
  <c r="AA30"/>
  <c r="AB30"/>
  <c r="S31"/>
  <c r="T31"/>
  <c r="U31"/>
  <c r="V31"/>
  <c r="W31"/>
  <c r="X31"/>
  <c r="Y31"/>
  <c r="Z31"/>
  <c r="AA31"/>
  <c r="AB31"/>
  <c r="S32"/>
  <c r="T32"/>
  <c r="U32"/>
  <c r="V32"/>
  <c r="W32"/>
  <c r="X32"/>
  <c r="Y32"/>
  <c r="Z32"/>
  <c r="AA32"/>
  <c r="AB32"/>
  <c r="S33"/>
  <c r="T33"/>
  <c r="U33"/>
  <c r="V33"/>
  <c r="W33"/>
  <c r="X33"/>
  <c r="Y33"/>
  <c r="Z33"/>
  <c r="AA33"/>
  <c r="AB33"/>
  <c r="S34"/>
  <c r="T34"/>
  <c r="U34"/>
  <c r="V34"/>
  <c r="W34"/>
  <c r="X34"/>
  <c r="Y34"/>
  <c r="Z34"/>
  <c r="AA34"/>
  <c r="AB34"/>
  <c r="S35"/>
  <c r="T35"/>
  <c r="U35"/>
  <c r="V35"/>
  <c r="W35"/>
  <c r="X35"/>
  <c r="Y35"/>
  <c r="Z35"/>
  <c r="AA35"/>
  <c r="AB35"/>
  <c r="S36"/>
  <c r="T36"/>
  <c r="U36"/>
  <c r="V36"/>
  <c r="W36"/>
  <c r="X36"/>
  <c r="Y36"/>
  <c r="Z36"/>
  <c r="AA36"/>
  <c r="AB36"/>
  <c r="S37"/>
  <c r="T37"/>
  <c r="U37"/>
  <c r="V37"/>
  <c r="W37"/>
  <c r="X37"/>
  <c r="Y37"/>
  <c r="Z37"/>
  <c r="AA37"/>
  <c r="AB37"/>
  <c r="S38"/>
  <c r="T38"/>
  <c r="U38"/>
  <c r="V38"/>
  <c r="W38"/>
  <c r="X38"/>
  <c r="Y38"/>
  <c r="Z38"/>
  <c r="AA38"/>
  <c r="AB38"/>
  <c r="S39"/>
  <c r="T39"/>
  <c r="U39"/>
  <c r="V39"/>
  <c r="W39"/>
  <c r="X39"/>
  <c r="Y39"/>
  <c r="Z39"/>
  <c r="AA39"/>
  <c r="AB39"/>
  <c r="S40"/>
  <c r="T40"/>
  <c r="U40"/>
  <c r="V40"/>
  <c r="W40"/>
  <c r="X40"/>
  <c r="Y40"/>
  <c r="Z40"/>
  <c r="AA40"/>
  <c r="AB40"/>
  <c r="S41"/>
  <c r="T41"/>
  <c r="U41"/>
  <c r="V41"/>
  <c r="W41"/>
  <c r="X41"/>
  <c r="Y41"/>
  <c r="Z41"/>
  <c r="AA41"/>
  <c r="AB41"/>
  <c r="S42"/>
  <c r="T42"/>
  <c r="U42"/>
  <c r="V42"/>
  <c r="W42"/>
  <c r="X42"/>
  <c r="Y42"/>
  <c r="Z42"/>
  <c r="AA42"/>
  <c r="AB42"/>
  <c r="S43"/>
  <c r="T43"/>
  <c r="U43"/>
  <c r="V43"/>
  <c r="W43"/>
  <c r="X43"/>
  <c r="Y43"/>
  <c r="Z43"/>
  <c r="AA43"/>
  <c r="AB43"/>
  <c r="S44"/>
  <c r="T44"/>
  <c r="U44"/>
  <c r="V44"/>
  <c r="W44"/>
  <c r="X44"/>
  <c r="Y44"/>
  <c r="Z44"/>
  <c r="AA44"/>
  <c r="AB44"/>
  <c r="S45"/>
  <c r="T45"/>
  <c r="U45"/>
  <c r="V45"/>
  <c r="W45"/>
  <c r="X45"/>
  <c r="Y45"/>
  <c r="Z45"/>
  <c r="AA45"/>
  <c r="AB45"/>
  <c r="S46"/>
  <c r="T46"/>
  <c r="U46"/>
  <c r="V46"/>
  <c r="W46"/>
  <c r="X46"/>
  <c r="Y46"/>
  <c r="Z46"/>
  <c r="AA46"/>
  <c r="AB46"/>
  <c r="S47"/>
  <c r="T47"/>
  <c r="U47"/>
  <c r="V47"/>
  <c r="W47"/>
  <c r="X47"/>
  <c r="Y47"/>
  <c r="Z47"/>
  <c r="AA47"/>
  <c r="AB47"/>
  <c r="S48"/>
  <c r="T48"/>
  <c r="U48"/>
  <c r="V48"/>
  <c r="W48"/>
  <c r="X48"/>
  <c r="Y48"/>
  <c r="Z48"/>
  <c r="AA48"/>
  <c r="AB48"/>
  <c r="S49"/>
  <c r="T49"/>
  <c r="U49"/>
  <c r="V49"/>
  <c r="W49"/>
  <c r="X49"/>
  <c r="Y49"/>
  <c r="Z49"/>
  <c r="AA49"/>
  <c r="AB49"/>
  <c r="S50"/>
  <c r="T50"/>
  <c r="U50"/>
  <c r="V50"/>
  <c r="W50"/>
  <c r="X50"/>
  <c r="Y50"/>
  <c r="Z50"/>
  <c r="AA50"/>
  <c r="AB50"/>
  <c r="S51"/>
  <c r="T51"/>
  <c r="U51"/>
  <c r="V51"/>
  <c r="W51"/>
  <c r="X51"/>
  <c r="Y51"/>
  <c r="Z51"/>
  <c r="AA51"/>
  <c r="AB51"/>
  <c r="S52"/>
  <c r="T52"/>
  <c r="U52"/>
  <c r="V52"/>
  <c r="W52"/>
  <c r="X52"/>
  <c r="Y52"/>
  <c r="Z52"/>
  <c r="AA52"/>
  <c r="AB52"/>
  <c r="S53"/>
  <c r="T53"/>
  <c r="U53"/>
  <c r="V53"/>
  <c r="W53"/>
  <c r="X53"/>
  <c r="Y53"/>
  <c r="Z53"/>
  <c r="AA53"/>
  <c r="AB53"/>
  <c r="S54"/>
  <c r="T54"/>
  <c r="U54"/>
  <c r="V54"/>
  <c r="W54"/>
  <c r="X54"/>
  <c r="Y54"/>
  <c r="Z54"/>
  <c r="AA54"/>
  <c r="AB54"/>
  <c r="S55"/>
  <c r="T55"/>
  <c r="U55"/>
  <c r="V55"/>
  <c r="W55"/>
  <c r="X55"/>
  <c r="Y55"/>
  <c r="Z55"/>
  <c r="AA55"/>
  <c r="AB55"/>
  <c r="S56"/>
  <c r="T56"/>
  <c r="U56"/>
  <c r="V56"/>
  <c r="W56"/>
  <c r="X56"/>
  <c r="Y56"/>
  <c r="Z56"/>
  <c r="AA56"/>
  <c r="AB56"/>
  <c r="S57"/>
  <c r="T57"/>
  <c r="U57"/>
  <c r="V57"/>
  <c r="W57"/>
  <c r="X57"/>
  <c r="Y57"/>
  <c r="Z57"/>
  <c r="AA57"/>
  <c r="AB57"/>
  <c r="S58"/>
  <c r="T58"/>
  <c r="U58"/>
  <c r="V58"/>
  <c r="W58"/>
  <c r="X58"/>
  <c r="Y58"/>
  <c r="Z58"/>
  <c r="AA58"/>
  <c r="AB58"/>
  <c r="S59"/>
  <c r="T59"/>
  <c r="U59"/>
  <c r="V59"/>
  <c r="W59"/>
  <c r="X59"/>
  <c r="Y59"/>
  <c r="Z59"/>
  <c r="AA59"/>
  <c r="AB59"/>
  <c r="S60"/>
  <c r="T60"/>
  <c r="U60"/>
  <c r="V60"/>
  <c r="W60"/>
  <c r="X60"/>
  <c r="Y60"/>
  <c r="Z60"/>
  <c r="AA60"/>
  <c r="AB60"/>
  <c r="S61"/>
  <c r="T61"/>
  <c r="U61"/>
  <c r="V61"/>
  <c r="W61"/>
  <c r="X61"/>
  <c r="Y61"/>
  <c r="Z61"/>
  <c r="AA61"/>
  <c r="AB61"/>
  <c r="S62"/>
  <c r="T62"/>
  <c r="U62"/>
  <c r="V62"/>
  <c r="W62"/>
  <c r="X62"/>
  <c r="Y62"/>
  <c r="Z62"/>
  <c r="AA62"/>
  <c r="AB62"/>
  <c r="S63"/>
  <c r="T63"/>
  <c r="U63"/>
  <c r="V63"/>
  <c r="W63"/>
  <c r="X63"/>
  <c r="Y63"/>
  <c r="Z63"/>
  <c r="AA63"/>
  <c r="AB63"/>
  <c r="S64"/>
  <c r="T64"/>
  <c r="U64"/>
  <c r="V64"/>
  <c r="W64"/>
  <c r="X64"/>
  <c r="Y64"/>
  <c r="Z64"/>
  <c r="AA64"/>
  <c r="AB64"/>
  <c r="S65"/>
  <c r="T65"/>
  <c r="U65"/>
  <c r="V65"/>
  <c r="W65"/>
  <c r="X65"/>
  <c r="Y65"/>
  <c r="Z65"/>
  <c r="AA65"/>
  <c r="AB65"/>
  <c r="S66"/>
  <c r="T66"/>
  <c r="U66"/>
  <c r="V66"/>
  <c r="W66"/>
  <c r="X66"/>
  <c r="Y66"/>
  <c r="Z66"/>
  <c r="AA66"/>
  <c r="AB66"/>
  <c r="S67"/>
  <c r="T67"/>
  <c r="U67"/>
  <c r="V67"/>
  <c r="W67"/>
  <c r="X67"/>
  <c r="Y67"/>
  <c r="Z67"/>
  <c r="AA67"/>
  <c r="AB67"/>
  <c r="S68"/>
  <c r="T68"/>
  <c r="U68"/>
  <c r="V68"/>
  <c r="W68"/>
  <c r="X68"/>
  <c r="Y68"/>
  <c r="Z68"/>
  <c r="AA68"/>
  <c r="AB68"/>
  <c r="S69"/>
  <c r="T69"/>
  <c r="U69"/>
  <c r="V69"/>
  <c r="W69"/>
  <c r="X69"/>
  <c r="Y69"/>
  <c r="Z69"/>
  <c r="AA69"/>
  <c r="AB69"/>
  <c r="S74"/>
  <c r="T74"/>
  <c r="U74"/>
  <c r="V74"/>
  <c r="W74"/>
  <c r="X74"/>
  <c r="Y74"/>
  <c r="Z74"/>
  <c r="AA74"/>
  <c r="AB74"/>
  <c r="S75"/>
  <c r="T75"/>
  <c r="U75"/>
  <c r="V75"/>
  <c r="W75"/>
  <c r="X75"/>
  <c r="Y75"/>
  <c r="Z75"/>
  <c r="AA75"/>
  <c r="AB75"/>
  <c r="S76"/>
  <c r="T76"/>
  <c r="U76"/>
  <c r="V76"/>
  <c r="W76"/>
  <c r="X76"/>
  <c r="Y76"/>
  <c r="Z76"/>
  <c r="AA76"/>
  <c r="AB76"/>
  <c r="S77"/>
  <c r="T77"/>
  <c r="U77"/>
  <c r="V77"/>
  <c r="W77"/>
  <c r="X77"/>
  <c r="Y77"/>
  <c r="Z77"/>
  <c r="AA77"/>
  <c r="AB77"/>
  <c r="S78"/>
  <c r="T78"/>
  <c r="U78"/>
  <c r="V78"/>
  <c r="W78"/>
  <c r="X78"/>
  <c r="Y78"/>
  <c r="Z78"/>
  <c r="AA78"/>
  <c r="AB78"/>
  <c r="S79"/>
  <c r="T79"/>
  <c r="U79"/>
  <c r="V79"/>
  <c r="W79"/>
  <c r="X79"/>
  <c r="Y79"/>
  <c r="Z79"/>
  <c r="AA79"/>
  <c r="AB79"/>
  <c r="S80"/>
  <c r="T80"/>
  <c r="U80"/>
  <c r="V80"/>
  <c r="W80"/>
  <c r="X80"/>
  <c r="Y80"/>
  <c r="Z80"/>
  <c r="AA80"/>
  <c r="AB80"/>
  <c r="S81"/>
  <c r="T81"/>
  <c r="U81"/>
  <c r="V81"/>
  <c r="W81"/>
  <c r="X81"/>
  <c r="Y81"/>
  <c r="Z81"/>
  <c r="AA81"/>
  <c r="AB81"/>
  <c r="S82"/>
  <c r="T82"/>
  <c r="U82"/>
  <c r="V82"/>
  <c r="W82"/>
  <c r="X82"/>
  <c r="Y82"/>
  <c r="Z82"/>
  <c r="AA82"/>
  <c r="AB82"/>
  <c r="S83"/>
  <c r="T83"/>
  <c r="U83"/>
  <c r="V83"/>
  <c r="W83"/>
  <c r="X83"/>
  <c r="Y83"/>
  <c r="Z83"/>
  <c r="AA83"/>
  <c r="AB83"/>
  <c r="S84"/>
  <c r="T84"/>
  <c r="U84"/>
  <c r="V84"/>
  <c r="W84"/>
  <c r="X84"/>
  <c r="Y84"/>
  <c r="Z84"/>
  <c r="AA84"/>
  <c r="AB84"/>
  <c r="S85"/>
  <c r="T85"/>
  <c r="U85"/>
  <c r="V85"/>
  <c r="W85"/>
  <c r="X85"/>
  <c r="Y85"/>
  <c r="Z85"/>
  <c r="AA85"/>
  <c r="AB85"/>
  <c r="S86"/>
  <c r="T86"/>
  <c r="U86"/>
  <c r="V86"/>
  <c r="W86"/>
  <c r="X86"/>
  <c r="Y86"/>
  <c r="Z86"/>
  <c r="AA86"/>
  <c r="AB86"/>
  <c r="S87"/>
  <c r="T87"/>
  <c r="U87"/>
  <c r="V87"/>
  <c r="W87"/>
  <c r="X87"/>
  <c r="Y87"/>
  <c r="Z87"/>
  <c r="AA87"/>
  <c r="AB87"/>
  <c r="AB89"/>
  <c r="M178" i="9"/>
  <c r="M179"/>
  <c r="M180"/>
  <c r="M181"/>
  <c r="M182"/>
  <c r="M183"/>
  <c r="J9" i="8"/>
  <c r="C178" i="9"/>
  <c r="J19" i="8"/>
  <c r="C179" i="9"/>
  <c r="J21" i="8"/>
  <c r="C180" i="9"/>
  <c r="C181"/>
  <c r="M184"/>
  <c r="J16" i="8"/>
  <c r="C184" i="9"/>
  <c r="C185"/>
  <c r="C187"/>
  <c r="C186"/>
  <c r="E9" i="8"/>
  <c r="G9"/>
  <c r="I9"/>
  <c r="E178" i="9"/>
  <c r="E19" i="8"/>
  <c r="G19"/>
  <c r="I19"/>
  <c r="E179" i="9"/>
  <c r="E21" i="8"/>
  <c r="G21"/>
  <c r="I21"/>
  <c r="E180" i="9"/>
  <c r="E181"/>
  <c r="E183"/>
  <c r="E16" i="8"/>
  <c r="G16"/>
  <c r="I16"/>
  <c r="E184" i="9"/>
  <c r="E185"/>
  <c r="E187"/>
  <c r="D9" i="8"/>
  <c r="D178" i="9"/>
  <c r="D19" i="8"/>
  <c r="F19"/>
  <c r="D179" i="9"/>
  <c r="D21" i="8"/>
  <c r="F21"/>
  <c r="D180" i="9"/>
  <c r="D181"/>
  <c r="D183"/>
  <c r="D16" i="8"/>
  <c r="D184" i="9"/>
  <c r="D185"/>
  <c r="D187"/>
  <c r="C183"/>
  <c r="T152"/>
  <c r="U152"/>
  <c r="V152"/>
  <c r="W152"/>
  <c r="T150"/>
  <c r="U150"/>
  <c r="V150"/>
  <c r="W150"/>
  <c r="T148"/>
  <c r="U148"/>
  <c r="V148"/>
  <c r="W148"/>
  <c r="T146"/>
  <c r="U146"/>
  <c r="V146"/>
  <c r="W146"/>
  <c r="T144"/>
  <c r="U144"/>
  <c r="V144"/>
  <c r="W144"/>
  <c r="T142"/>
  <c r="U142"/>
  <c r="V142"/>
  <c r="W142"/>
  <c r="T140"/>
  <c r="U140"/>
  <c r="V140"/>
  <c r="W140"/>
  <c r="T138"/>
  <c r="U138"/>
  <c r="V138"/>
  <c r="W138"/>
  <c r="T136"/>
  <c r="U136"/>
  <c r="V136"/>
  <c r="W136"/>
  <c r="F138"/>
  <c r="G138"/>
  <c r="H138"/>
  <c r="I138"/>
  <c r="T134"/>
  <c r="U134"/>
  <c r="V134"/>
  <c r="W134"/>
  <c r="F134"/>
  <c r="G134"/>
  <c r="H134"/>
  <c r="I134"/>
  <c r="F137"/>
  <c r="G137"/>
  <c r="H137"/>
  <c r="I137"/>
  <c r="F139"/>
  <c r="G139"/>
  <c r="H139"/>
  <c r="I139"/>
  <c r="F140"/>
  <c r="G140"/>
  <c r="H140"/>
  <c r="I140"/>
  <c r="F141"/>
  <c r="G141"/>
  <c r="H141"/>
  <c r="I141"/>
  <c r="F142"/>
  <c r="G142"/>
  <c r="H142"/>
  <c r="I142"/>
  <c r="F143"/>
  <c r="G143"/>
  <c r="H143"/>
  <c r="I143"/>
  <c r="F135"/>
  <c r="G135"/>
  <c r="H135"/>
  <c r="I135"/>
  <c r="F9" i="8"/>
  <c r="H9"/>
  <c r="D4" i="9"/>
  <c r="X150"/>
  <c r="Y150"/>
  <c r="Z150"/>
  <c r="AA150"/>
  <c r="S150"/>
  <c r="X152"/>
  <c r="Y152"/>
  <c r="Z152"/>
  <c r="AA152"/>
  <c r="E142"/>
  <c r="S152"/>
  <c r="X148"/>
  <c r="Y148"/>
  <c r="Z148"/>
  <c r="AA148"/>
  <c r="S148"/>
  <c r="X146"/>
  <c r="Y146"/>
  <c r="Z146"/>
  <c r="AA146"/>
  <c r="S146"/>
  <c r="X144"/>
  <c r="Y144"/>
  <c r="Z144"/>
  <c r="AA144"/>
  <c r="S144"/>
  <c r="X142"/>
  <c r="Y142"/>
  <c r="Z142"/>
  <c r="AA142"/>
  <c r="S142"/>
  <c r="X136"/>
  <c r="Y136"/>
  <c r="Z136"/>
  <c r="AA136"/>
  <c r="E137"/>
  <c r="S136"/>
  <c r="X138"/>
  <c r="Y138"/>
  <c r="Z138"/>
  <c r="AA138"/>
  <c r="F136"/>
  <c r="G136"/>
  <c r="H136"/>
  <c r="S138"/>
  <c r="X140"/>
  <c r="Y140"/>
  <c r="Z140"/>
  <c r="AA140"/>
  <c r="S140"/>
  <c r="X134"/>
  <c r="Y134"/>
  <c r="Z134"/>
  <c r="AA134"/>
  <c r="S134"/>
  <c r="C166"/>
  <c r="D166"/>
  <c r="E166"/>
  <c r="F166"/>
  <c r="C172"/>
  <c r="D172"/>
  <c r="E172"/>
  <c r="F172"/>
  <c r="C173"/>
  <c r="D173"/>
  <c r="E173"/>
  <c r="F173"/>
  <c r="C171"/>
  <c r="D171"/>
  <c r="E171"/>
  <c r="F171"/>
  <c r="C170"/>
  <c r="D170"/>
  <c r="E170"/>
  <c r="F170"/>
  <c r="C169"/>
  <c r="D169"/>
  <c r="E169"/>
  <c r="F169"/>
  <c r="C168"/>
  <c r="D168"/>
  <c r="E168"/>
  <c r="F168"/>
  <c r="C165"/>
  <c r="D165"/>
  <c r="E165"/>
  <c r="F165"/>
  <c r="C167"/>
  <c r="D167"/>
  <c r="E167"/>
  <c r="F167"/>
  <c r="C164"/>
  <c r="D164"/>
  <c r="E164"/>
  <c r="F164"/>
  <c r="J142"/>
  <c r="K142"/>
  <c r="L142"/>
  <c r="M142"/>
  <c r="J137"/>
  <c r="K137"/>
  <c r="L137"/>
  <c r="M137"/>
  <c r="J134"/>
  <c r="K134"/>
  <c r="L134"/>
  <c r="M134"/>
  <c r="E134"/>
  <c r="C103"/>
  <c r="C104"/>
  <c r="C105"/>
  <c r="C106"/>
  <c r="D103"/>
  <c r="D104"/>
  <c r="D105"/>
  <c r="D106"/>
  <c r="E103"/>
  <c r="E104"/>
  <c r="E105"/>
  <c r="E106"/>
  <c r="F103"/>
  <c r="F104"/>
  <c r="F105"/>
  <c r="F106"/>
  <c r="D196"/>
  <c r="C196"/>
  <c r="D75"/>
  <c r="E75"/>
  <c r="F75"/>
  <c r="D74"/>
  <c r="E74"/>
  <c r="F74"/>
  <c r="D73"/>
  <c r="E73"/>
  <c r="F73"/>
  <c r="D72"/>
  <c r="E72"/>
  <c r="F72"/>
  <c r="C118"/>
  <c r="C117"/>
  <c r="C116"/>
  <c r="Z89" i="1"/>
  <c r="AA89"/>
  <c r="Y89"/>
  <c r="AA91"/>
  <c r="C197" i="9"/>
  <c r="U89" i="1"/>
  <c r="T89"/>
  <c r="S89"/>
  <c r="U91"/>
  <c r="C195" i="9"/>
  <c r="Q89" i="1"/>
  <c r="C208" i="9"/>
  <c r="I136"/>
  <c r="J136"/>
  <c r="K136"/>
  <c r="L136"/>
  <c r="M136"/>
  <c r="J138"/>
  <c r="K138"/>
  <c r="L138"/>
  <c r="M138"/>
  <c r="J139"/>
  <c r="K139"/>
  <c r="L139"/>
  <c r="M139"/>
  <c r="J140"/>
  <c r="K140"/>
  <c r="L140"/>
  <c r="M140"/>
  <c r="J141"/>
  <c r="K141"/>
  <c r="L141"/>
  <c r="M141"/>
  <c r="J143"/>
  <c r="K143"/>
  <c r="L143"/>
  <c r="M143"/>
  <c r="J135"/>
  <c r="K135"/>
  <c r="L135"/>
  <c r="M135"/>
  <c r="D13" i="8"/>
  <c r="F13"/>
  <c r="H13"/>
  <c r="D48" i="9"/>
  <c r="D12" i="8"/>
  <c r="F12"/>
  <c r="H12"/>
  <c r="D47" i="9"/>
  <c r="D11" i="8"/>
  <c r="F11"/>
  <c r="H11"/>
  <c r="D46" i="9"/>
  <c r="D10" i="8"/>
  <c r="F10"/>
  <c r="H10"/>
  <c r="D45" i="9"/>
  <c r="H21" i="8"/>
  <c r="D8" i="9"/>
  <c r="H19" i="8"/>
  <c r="D7" i="9"/>
  <c r="P89" i="1"/>
  <c r="D197" i="9"/>
  <c r="O89" i="1"/>
  <c r="E194" i="9"/>
  <c r="M89" i="1"/>
  <c r="E195" i="9"/>
  <c r="E197"/>
  <c r="E196"/>
  <c r="E198"/>
  <c r="E13" i="8"/>
  <c r="G13"/>
  <c r="I13"/>
  <c r="C64" i="9"/>
  <c r="E12" i="8"/>
  <c r="G12"/>
  <c r="I12"/>
  <c r="C63" i="9"/>
  <c r="E11" i="8"/>
  <c r="G11"/>
  <c r="I11"/>
  <c r="C62" i="9"/>
  <c r="E10" i="8"/>
  <c r="G10"/>
  <c r="I10"/>
  <c r="C61" i="9"/>
  <c r="E48"/>
  <c r="E47"/>
  <c r="E46"/>
  <c r="E45"/>
  <c r="C38"/>
  <c r="C37"/>
  <c r="C36"/>
  <c r="C34"/>
  <c r="E8"/>
  <c r="E7"/>
  <c r="E6"/>
  <c r="E4"/>
  <c r="I14" i="8"/>
  <c r="I26"/>
  <c r="I24"/>
  <c r="H24"/>
  <c r="I23"/>
  <c r="H23"/>
  <c r="I22"/>
  <c r="H22"/>
  <c r="I20"/>
  <c r="H20"/>
  <c r="I18"/>
  <c r="H18"/>
  <c r="I17"/>
  <c r="H17"/>
  <c r="H16"/>
  <c r="I15"/>
  <c r="H15"/>
  <c r="H14"/>
  <c r="H26"/>
  <c r="E135" i="9"/>
  <c r="E136"/>
  <c r="E138"/>
  <c r="E139"/>
  <c r="E140"/>
  <c r="E141"/>
  <c r="E143"/>
  <c r="E21" i="10"/>
  <c r="C206" i="9"/>
  <c r="C93"/>
  <c r="C92"/>
  <c r="C91"/>
  <c r="C90"/>
  <c r="G75"/>
  <c r="G73"/>
  <c r="G72"/>
  <c r="C84"/>
  <c r="C82"/>
  <c r="C74"/>
  <c r="C72"/>
  <c r="H23" i="10"/>
  <c r="H22"/>
  <c r="H19"/>
  <c r="D19"/>
  <c r="I19"/>
  <c r="J19"/>
  <c r="K19"/>
  <c r="H20"/>
  <c r="I20"/>
  <c r="J20"/>
  <c r="K20"/>
  <c r="H21"/>
  <c r="D21"/>
  <c r="I21"/>
  <c r="J21"/>
  <c r="K21"/>
  <c r="D76" i="9"/>
  <c r="E76"/>
  <c r="F76"/>
  <c r="L89" i="1"/>
  <c r="D195" i="9"/>
  <c r="N89" i="1"/>
  <c r="D194" i="9"/>
  <c r="V89" i="1"/>
  <c r="W89"/>
  <c r="X89"/>
  <c r="X91"/>
  <c r="C194" i="9"/>
  <c r="I22" i="10"/>
  <c r="I23"/>
  <c r="C198" i="9"/>
  <c r="D198"/>
  <c r="D49"/>
  <c r="D6"/>
  <c r="D5"/>
  <c r="E5"/>
  <c r="E9"/>
  <c r="C207"/>
  <c r="C205"/>
  <c r="I12" i="10"/>
  <c r="J12"/>
  <c r="K12"/>
  <c r="L12"/>
  <c r="I13"/>
  <c r="J13"/>
  <c r="K13"/>
  <c r="L13"/>
  <c r="L23"/>
  <c r="C5" i="9"/>
  <c r="L14" i="10"/>
  <c r="L11"/>
  <c r="K14"/>
  <c r="K11"/>
  <c r="J14"/>
  <c r="J11"/>
  <c r="I14"/>
  <c r="I11"/>
  <c r="H14"/>
  <c r="H13"/>
  <c r="H12"/>
  <c r="H11"/>
  <c r="G21"/>
  <c r="J13" i="8"/>
  <c r="C56" i="9"/>
  <c r="J12" i="8"/>
  <c r="C55" i="9"/>
  <c r="J11" i="8"/>
  <c r="C54" i="9"/>
  <c r="J10" i="8"/>
  <c r="C53" i="9"/>
  <c r="J18" i="8"/>
  <c r="E18"/>
  <c r="C45" i="9"/>
  <c r="C46"/>
  <c r="C47"/>
  <c r="C48"/>
  <c r="C49"/>
  <c r="E49"/>
  <c r="G74"/>
  <c r="C85"/>
  <c r="C83"/>
  <c r="C73"/>
  <c r="G76"/>
  <c r="C75"/>
  <c r="C76"/>
  <c r="C19" i="10"/>
  <c r="C20"/>
  <c r="C21"/>
  <c r="D20"/>
  <c r="D9" i="9"/>
  <c r="C4"/>
  <c r="C6"/>
  <c r="C7"/>
  <c r="C8"/>
  <c r="C9"/>
  <c r="C35"/>
  <c r="C24"/>
  <c r="C23"/>
  <c r="C22"/>
  <c r="C21"/>
  <c r="C20"/>
  <c r="J20" i="8"/>
  <c r="G20"/>
  <c r="F20"/>
  <c r="E20"/>
  <c r="D20"/>
  <c r="G18"/>
  <c r="F18"/>
  <c r="J17"/>
  <c r="G17"/>
  <c r="F17"/>
  <c r="E17"/>
  <c r="D18"/>
  <c r="D17"/>
  <c r="E14"/>
  <c r="E26"/>
  <c r="D14"/>
  <c r="D26"/>
  <c r="G20" i="10"/>
  <c r="E19"/>
  <c r="G19"/>
  <c r="F14" i="8"/>
  <c r="G14"/>
  <c r="J14"/>
  <c r="D15"/>
  <c r="E15"/>
  <c r="F15"/>
  <c r="G15"/>
  <c r="J15"/>
  <c r="F16"/>
  <c r="G26"/>
  <c r="D24"/>
  <c r="E24"/>
  <c r="F24"/>
  <c r="G24"/>
  <c r="J24"/>
  <c r="D22"/>
  <c r="E22"/>
  <c r="F22"/>
  <c r="G22"/>
  <c r="J22"/>
  <c r="D23"/>
  <c r="E23"/>
  <c r="F23"/>
  <c r="G23"/>
  <c r="J23"/>
  <c r="F26"/>
  <c r="J26"/>
</calcChain>
</file>

<file path=xl/sharedStrings.xml><?xml version="1.0" encoding="utf-8"?>
<sst xmlns="http://schemas.openxmlformats.org/spreadsheetml/2006/main" count="1212" uniqueCount="431">
  <si>
    <t>Property</t>
  </si>
  <si>
    <t>Service Address</t>
  </si>
  <si>
    <t>LGOP Sector</t>
  </si>
  <si>
    <t>Subcategory</t>
  </si>
  <si>
    <t>Buildings and Other Facilities</t>
  </si>
  <si>
    <t>Public Safety Facility</t>
  </si>
  <si>
    <t>Streetlights and Traffic Signals</t>
  </si>
  <si>
    <t>City Hall</t>
  </si>
  <si>
    <t>Solid Waste Facilities</t>
  </si>
  <si>
    <t>Landfill Facility</t>
  </si>
  <si>
    <t>Water Delivery Facilities</t>
  </si>
  <si>
    <t>Water Supply Treatment Facility</t>
  </si>
  <si>
    <t>Pumping Station</t>
  </si>
  <si>
    <t>Water Delivery Other</t>
  </si>
  <si>
    <t>National Grid</t>
  </si>
  <si>
    <t>Recreation</t>
  </si>
  <si>
    <t>Public Safety</t>
  </si>
  <si>
    <t>Traffic Signals</t>
  </si>
  <si>
    <t>Streetlights</t>
  </si>
  <si>
    <t>LGOP referenced here is Local Governments Operations Protocol Version 1.1 (released May 2010).</t>
  </si>
  <si>
    <t>Electric CO2 calculation=</t>
  </si>
  <si>
    <t>(MWh*NYUP eGRID factor for CO2)</t>
  </si>
  <si>
    <t>Electric CH4 calculation=</t>
  </si>
  <si>
    <t>(MWh*NYUP eGRID factor for CH4)</t>
  </si>
  <si>
    <t>Electric N2O calculation=</t>
  </si>
  <si>
    <t>(MWh*NYUP eGRID factor for N2O)</t>
  </si>
  <si>
    <t>NYUP eGRID factor for CO2 = 720.8 lbs CO2/MWh</t>
  </si>
  <si>
    <t>NYUP eGRID factor for CH4 = 0.02482 lbs CH4/MWh</t>
  </si>
  <si>
    <t>NYUP eGRID factor for N2O = 0.01119 lbs N2O/MWh</t>
  </si>
  <si>
    <t>LGOP p. 210-211; Albany is in eGRID subregion - NYUP. These are 2007 factors (2005 data).</t>
  </si>
  <si>
    <t>Gas CO2 calculation =</t>
  </si>
  <si>
    <t>(MMBTU * 53.02) * 0.001 metric tons per Kg</t>
  </si>
  <si>
    <t>Gas CH4 calculation =</t>
  </si>
  <si>
    <t>(MMBTU * .005) * 0.001 metric tons per Kg</t>
  </si>
  <si>
    <t>Gas N2O calculation =</t>
  </si>
  <si>
    <t>(MMBTU * .0001) * 0.001 metric tons per Kg</t>
  </si>
  <si>
    <t>Nat Gas Default CO2 factor (p.202 LGOP) = 53.02 kgCO2/MMBTU</t>
  </si>
  <si>
    <t>CO2equivalent</t>
  </si>
  <si>
    <t>CO2e (metric tons) = (CO2 metric tons*1) + (CH4 metric tons *21) + (N2O metric tons *310)</t>
  </si>
  <si>
    <t>GWP CH4 = 21</t>
  </si>
  <si>
    <t>GWP N2O = 310</t>
  </si>
  <si>
    <t>MMBTU</t>
  </si>
  <si>
    <t>Kerosene</t>
  </si>
  <si>
    <t>#2 fuel oil</t>
  </si>
  <si>
    <t>Default factors for CO2 CH4 N2O for kerosene and #2 fuel oil from LGOP p. 203 and 206</t>
  </si>
  <si>
    <t>CO2</t>
  </si>
  <si>
    <t>CH4</t>
  </si>
  <si>
    <t>N2O</t>
  </si>
  <si>
    <t>kg/gallon</t>
  </si>
  <si>
    <t>MMBTU/gallon</t>
  </si>
  <si>
    <t>Sector determinations from LGOP and utility accounts/facilities assigned sector designation by Albany DGS and Water Dept.</t>
  </si>
  <si>
    <t>Combined Htg Oil Factors</t>
  </si>
  <si>
    <t>FACTORS and SOURCES:</t>
  </si>
  <si>
    <t>Source of raw electric and gas data: City of Albany National Grid online accounts and Central Hudson Elec &amp; Gas</t>
  </si>
  <si>
    <t>Source of raw heating oil data: MainCare, Warex, Noco</t>
  </si>
  <si>
    <t>Utility/Fuel Account Information</t>
  </si>
  <si>
    <t>LGOP Reporting Classification of Account</t>
  </si>
  <si>
    <t xml:space="preserve">Elec CO2 </t>
  </si>
  <si>
    <t xml:space="preserve">Elec CH4 </t>
  </si>
  <si>
    <t xml:space="preserve">Elec N2O </t>
  </si>
  <si>
    <t>Administration</t>
  </si>
  <si>
    <t>Senior Center</t>
  </si>
  <si>
    <t>Filter Plant</t>
  </si>
  <si>
    <t>Fire House</t>
  </si>
  <si>
    <t>Administrative Facility</t>
  </si>
  <si>
    <t>Delivery</t>
  </si>
  <si>
    <t>Department</t>
  </si>
  <si>
    <t>Fire</t>
  </si>
  <si>
    <t>Police</t>
  </si>
  <si>
    <t xml:space="preserve">Housing </t>
  </si>
  <si>
    <t>School</t>
  </si>
  <si>
    <t>Total Distributed</t>
  </si>
  <si>
    <t>Total Recovered</t>
  </si>
  <si>
    <t>Empire</t>
  </si>
  <si>
    <t>Code</t>
  </si>
  <si>
    <t>DPW</t>
  </si>
  <si>
    <t>Public Library</t>
  </si>
  <si>
    <t>DPW - Building 2</t>
  </si>
  <si>
    <t>DPW Garage/Pump Station 9</t>
  </si>
  <si>
    <t>Fire House, Front - Floor 1</t>
  </si>
  <si>
    <t>Municipal Garage</t>
  </si>
  <si>
    <t>Music Hall</t>
  </si>
  <si>
    <t>Pump House</t>
  </si>
  <si>
    <t>Pump Station 7</t>
  </si>
  <si>
    <t>97 Mohawk Street</t>
  </si>
  <si>
    <t>169 Mohawk Street</t>
  </si>
  <si>
    <t>1 New Street</t>
  </si>
  <si>
    <t>319 Vliet Blvd</t>
  </si>
  <si>
    <t>10 Cayuga Plaza</t>
  </si>
  <si>
    <t>172 Ontario street</t>
  </si>
  <si>
    <t>08698-78106</t>
  </si>
  <si>
    <t>08898-78102</t>
  </si>
  <si>
    <t>09298-78124</t>
  </si>
  <si>
    <t>32498-76116</t>
  </si>
  <si>
    <t>52532-78013</t>
  </si>
  <si>
    <t>40098-68100</t>
  </si>
  <si>
    <t>72498-76101</t>
  </si>
  <si>
    <t>68498-75105</t>
  </si>
  <si>
    <t>88898-75109</t>
  </si>
  <si>
    <t>29036-18102</t>
  </si>
  <si>
    <t>76098-71102</t>
  </si>
  <si>
    <t>81135-68002</t>
  </si>
  <si>
    <t>94098-70103</t>
  </si>
  <si>
    <t>59498-68209</t>
  </si>
  <si>
    <t>75498-75100</t>
  </si>
  <si>
    <t>84298-77107</t>
  </si>
  <si>
    <t>28698-68120</t>
  </si>
  <si>
    <t>40436-18108</t>
  </si>
  <si>
    <t>80098-75109</t>
  </si>
  <si>
    <t>86298-69109</t>
  </si>
  <si>
    <t>51898-69104</t>
  </si>
  <si>
    <t>TOTALS for 2012</t>
  </si>
  <si>
    <t>Bridge Avenue Bridge Lights</t>
  </si>
  <si>
    <t>Bridge Avenue</t>
  </si>
  <si>
    <t>57470-62018</t>
  </si>
  <si>
    <t>Pump Station</t>
  </si>
  <si>
    <t>Cedar Street</t>
  </si>
  <si>
    <t>64898-74102</t>
  </si>
  <si>
    <t>93898-70105</t>
  </si>
  <si>
    <t>Water Department</t>
  </si>
  <si>
    <t>58698-78101</t>
  </si>
  <si>
    <t>09098-78100</t>
  </si>
  <si>
    <t>Columbia Street</t>
  </si>
  <si>
    <t>00636-20100</t>
  </si>
  <si>
    <t>00135-80008</t>
  </si>
  <si>
    <t>Light - North Trail</t>
  </si>
  <si>
    <t>Light - South Trail</t>
  </si>
  <si>
    <t>34735-40003</t>
  </si>
  <si>
    <t>73698-76109</t>
  </si>
  <si>
    <t>DPW Garage</t>
  </si>
  <si>
    <t>61236-19103</t>
  </si>
  <si>
    <t>James Street</t>
  </si>
  <si>
    <t>Lansing Pool</t>
  </si>
  <si>
    <t>66933-24002</t>
  </si>
  <si>
    <t>87436-17109</t>
  </si>
  <si>
    <t>Lansing Park</t>
  </si>
  <si>
    <t>79636-17108</t>
  </si>
  <si>
    <t>Lighting District</t>
  </si>
  <si>
    <t>26738-82107/05552-95102</t>
  </si>
  <si>
    <t>99138-80108/05552-95102</t>
  </si>
  <si>
    <t>112th Street</t>
  </si>
  <si>
    <t>98538-82102/95152-93105</t>
  </si>
  <si>
    <t>McDonald Drive</t>
  </si>
  <si>
    <t>41298-66104</t>
  </si>
  <si>
    <t>98498-77102</t>
  </si>
  <si>
    <t>58 Remsen Street</t>
  </si>
  <si>
    <t>Niver Street</t>
  </si>
  <si>
    <t>60236-19101</t>
  </si>
  <si>
    <t>13298-76101</t>
  </si>
  <si>
    <t>Ontario Street</t>
  </si>
  <si>
    <t>21830-54008</t>
  </si>
  <si>
    <t>Park Fountain</t>
  </si>
  <si>
    <t>Van Schaick Pond</t>
  </si>
  <si>
    <t>08930-75002</t>
  </si>
  <si>
    <t>Delaware Avenue</t>
  </si>
  <si>
    <t>Central Avenue</t>
  </si>
  <si>
    <t>22531-27009</t>
  </si>
  <si>
    <t>North Mohawk Street</t>
  </si>
  <si>
    <t>26298-80102</t>
  </si>
  <si>
    <t>Pump Station - Water Lease</t>
  </si>
  <si>
    <t>76898-75104</t>
  </si>
  <si>
    <t>Pump Station 10</t>
  </si>
  <si>
    <t>86098-75101</t>
  </si>
  <si>
    <t>Pump Station 12</t>
  </si>
  <si>
    <t>62236-19105</t>
  </si>
  <si>
    <t>Pump Station 4</t>
  </si>
  <si>
    <t>77698-78101</t>
  </si>
  <si>
    <t>Pump Station 6A</t>
  </si>
  <si>
    <t>01836-20108</t>
  </si>
  <si>
    <t>Recreation Department</t>
  </si>
  <si>
    <t>60036-19105</t>
  </si>
  <si>
    <t>02930-11006</t>
  </si>
  <si>
    <t>31298-71104</t>
  </si>
  <si>
    <t>Filtration</t>
  </si>
  <si>
    <t>Simmons Avenue</t>
  </si>
  <si>
    <t>01530-02003</t>
  </si>
  <si>
    <t>38936-54015</t>
  </si>
  <si>
    <t>Sunset Park</t>
  </si>
  <si>
    <t>37530-22019</t>
  </si>
  <si>
    <t>Wertime Court</t>
  </si>
  <si>
    <t>33179-93000</t>
  </si>
  <si>
    <t>Traffic Light</t>
  </si>
  <si>
    <t>34171-84003</t>
  </si>
  <si>
    <t>Columbia St at Central</t>
  </si>
  <si>
    <t>Bridge St at 3rd</t>
  </si>
  <si>
    <t>74170-86006</t>
  </si>
  <si>
    <t>Columbia St at Congress</t>
  </si>
  <si>
    <t>00378-10003</t>
  </si>
  <si>
    <t>Columbia St at James</t>
  </si>
  <si>
    <t>17970-74000</t>
  </si>
  <si>
    <t>Columbia St at Main</t>
  </si>
  <si>
    <t>89978-54018</t>
  </si>
  <si>
    <t>Columbia St at Masten</t>
  </si>
  <si>
    <t>66776-84003</t>
  </si>
  <si>
    <t>Columbia St at Remsen</t>
  </si>
  <si>
    <t>53373-16001</t>
  </si>
  <si>
    <t>Columbia St at Simmons</t>
  </si>
  <si>
    <t>49971-32004</t>
  </si>
  <si>
    <t>Main St at Newark</t>
  </si>
  <si>
    <t>04371-65010</t>
  </si>
  <si>
    <t>Mohawk St at Ontario</t>
  </si>
  <si>
    <t>38030-35004</t>
  </si>
  <si>
    <t>06330-51000</t>
  </si>
  <si>
    <t>North Mohawk at Manor</t>
  </si>
  <si>
    <t>06973-80000</t>
  </si>
  <si>
    <t>66371-48000</t>
  </si>
  <si>
    <t>20779-31001</t>
  </si>
  <si>
    <t>Saratoga Street</t>
  </si>
  <si>
    <t>93771-01006</t>
  </si>
  <si>
    <t>05772-00009</t>
  </si>
  <si>
    <t>63375-88008</t>
  </si>
  <si>
    <t>Simmons Ave at Vliet</t>
  </si>
  <si>
    <t>Ontario St at Park</t>
  </si>
  <si>
    <t>Remsen St at White</t>
  </si>
  <si>
    <t>Saratoga St at Bridge</t>
  </si>
  <si>
    <t>Saratoga St at Dyke</t>
  </si>
  <si>
    <t>Saratoga St at Ontario</t>
  </si>
  <si>
    <t>36738-44000</t>
  </si>
  <si>
    <t>Lighting Service</t>
  </si>
  <si>
    <t>Wilson Lane</t>
  </si>
  <si>
    <t>14570-87009</t>
  </si>
  <si>
    <t>09631-68005</t>
  </si>
  <si>
    <t>North Mohawk at Mohawk</t>
  </si>
  <si>
    <t>31670-79006/05352-95106</t>
  </si>
  <si>
    <t>Fire Dept - 3224</t>
  </si>
  <si>
    <t>Fire Dept - 3227</t>
  </si>
  <si>
    <t>Fire Dept - 3233</t>
  </si>
  <si>
    <t>04650-00006/05352-95106</t>
  </si>
  <si>
    <t>36010-84005/05352-95106</t>
  </si>
  <si>
    <t>Fire Dept - 3237</t>
  </si>
  <si>
    <t>Fire Dept - 3248</t>
  </si>
  <si>
    <t>39791-08009/05352-95106</t>
  </si>
  <si>
    <t>57571-08003/05352-95106</t>
  </si>
  <si>
    <t>Recreational Facility</t>
  </si>
  <si>
    <t>Generator</t>
  </si>
  <si>
    <t>Public Health Facility</t>
  </si>
  <si>
    <t>Office Building</t>
  </si>
  <si>
    <t>Outdoor Lighting</t>
  </si>
  <si>
    <t>Parking Garage</t>
  </si>
  <si>
    <t>Recreation Facility</t>
  </si>
  <si>
    <t>Warehouse</t>
  </si>
  <si>
    <t>Wastewater Infrastructure</t>
  </si>
  <si>
    <t>Water Infrastructure</t>
  </si>
  <si>
    <t>DPW Garage / Other Operations</t>
  </si>
  <si>
    <t>Leased Facilities</t>
  </si>
  <si>
    <t>Miscellaneous</t>
  </si>
  <si>
    <t>Subtotal</t>
  </si>
  <si>
    <t>Vehicle Fleet</t>
  </si>
  <si>
    <t>Wastewater Treatment Facilities</t>
  </si>
  <si>
    <t>Pumping Stations</t>
  </si>
  <si>
    <t>Wastewater Treatment</t>
  </si>
  <si>
    <t>Water Delivery</t>
  </si>
  <si>
    <t>Cohoes Properties</t>
  </si>
  <si>
    <t>LGOP Sector Subcategory</t>
  </si>
  <si>
    <t>Dept of Public Works</t>
  </si>
  <si>
    <t>Information Associated with Account</t>
  </si>
  <si>
    <t>Totals</t>
  </si>
  <si>
    <t>Total Government</t>
  </si>
  <si>
    <t>CITY OF COHOES GHG INVENTORY FOR YEAR 2012</t>
  </si>
  <si>
    <t>LGOP Facility Type</t>
  </si>
  <si>
    <t>Public Works</t>
  </si>
  <si>
    <t>Pump Stations</t>
  </si>
  <si>
    <t>Traffic Signal</t>
  </si>
  <si>
    <t>GHG Emissions</t>
  </si>
  <si>
    <t>Nat. Gas CO2</t>
  </si>
  <si>
    <t>Nat. Gas CH4</t>
  </si>
  <si>
    <t>Nat. Gas N2O</t>
  </si>
  <si>
    <t>Nat. Gas (therms/yr)</t>
  </si>
  <si>
    <t>Energy Usage and Cost</t>
  </si>
  <si>
    <t>Natural Gas</t>
  </si>
  <si>
    <t>Electricity</t>
  </si>
  <si>
    <t>Total Nat. Gas MTCDE:</t>
  </si>
  <si>
    <t>Total Elec MTCDE:</t>
  </si>
  <si>
    <t>Total GHG Emissions (MTCDE/yr)</t>
  </si>
  <si>
    <t>Total GHG Emissions (MTCDE)</t>
  </si>
  <si>
    <t>Total City-Owned</t>
  </si>
  <si>
    <t>Total City-Owned CO2e from N2O and SO4:</t>
  </si>
  <si>
    <t>Total City-Owned MTCDE by fuel type:</t>
  </si>
  <si>
    <t>Total City-Owned MTCDE:</t>
  </si>
  <si>
    <t>City-Owned GHG emissions (MTCDE)</t>
  </si>
  <si>
    <t>Fuel Type</t>
  </si>
  <si>
    <t>GHG Emissions (MTCDE/yr)</t>
  </si>
  <si>
    <t>Energy Costs (USD/yr)</t>
  </si>
  <si>
    <t>Electricity Cost (USD/yr)</t>
  </si>
  <si>
    <t>Nat. Gas Cost (USD/yr)</t>
  </si>
  <si>
    <t>Total Energy Cost (USD/yr)</t>
  </si>
  <si>
    <t>Energy Usage (MMBtu/yr)</t>
  </si>
  <si>
    <t>Conversion Factors for MMBtus</t>
  </si>
  <si>
    <t>Sources:</t>
  </si>
  <si>
    <t>http://www.eia.gov/kids/energy.cfm?page=about_energy_conversion_calculator-basics</t>
  </si>
  <si>
    <t>http://www.centerpointenergy.com/services/energymarketing/learningcenter/energyconversionfactors/</t>
  </si>
  <si>
    <t>Electricity (KWH/yr)</t>
  </si>
  <si>
    <t>Natural Gas Cost (USD/yr)</t>
  </si>
  <si>
    <t>Electric Cost (USD/yr)</t>
  </si>
  <si>
    <t>Total cost (USD/yr)</t>
  </si>
  <si>
    <t>CO2 from gasoline (metric tons/yr)</t>
  </si>
  <si>
    <t>CO2 from diesel (metric tons/yr)</t>
  </si>
  <si>
    <t>Total CO2 (metric tons/yr)</t>
  </si>
  <si>
    <t>CO2e from N2O and SO4 (metric tons/yr)</t>
  </si>
  <si>
    <t>Natural Gas (therms/yr)</t>
  </si>
  <si>
    <t>Gasoline &amp; Diesel Cost (USD/yr)</t>
  </si>
  <si>
    <t>Gasoline (gal/yr)</t>
  </si>
  <si>
    <t>Diesel (gal/yr)</t>
  </si>
  <si>
    <t>Cost of gasoline (USD/yr)</t>
  </si>
  <si>
    <t>Cost of diesel (USD/yr)</t>
  </si>
  <si>
    <t>Electric Total (KWH/yr)</t>
  </si>
  <si>
    <t>1 gal diesel = 0.1396 MMBtu (from EIA)</t>
  </si>
  <si>
    <t>1 KWH = 0.003412 MMBtu (from EIA)</t>
  </si>
  <si>
    <t>1 gal gasoline = 0.124262 MMBtu (from EIA)</t>
  </si>
  <si>
    <t>1 therm natural gas = 0.1 MMBtu (Ctr Pt Energy website)</t>
  </si>
  <si>
    <t>1 gal propane = 0.0916 MMBtu (Ctr Pt Energy website)</t>
  </si>
  <si>
    <t>Global Warming Potentials</t>
  </si>
  <si>
    <t>Emission Factors for Fuels</t>
  </si>
  <si>
    <t>Heating Oil CO2 (kg /gallon)</t>
  </si>
  <si>
    <t>Heating Oil CH4 (kg /gallon)</t>
  </si>
  <si>
    <t>Heating Oil N2O (kg /gallon)</t>
  </si>
  <si>
    <t>main water filtration plant</t>
  </si>
  <si>
    <t>simmons ave, reservoir, smaller bldg</t>
  </si>
  <si>
    <t>Streetlights (2)</t>
  </si>
  <si>
    <t>Propane</t>
  </si>
  <si>
    <t>Fire Houses</t>
  </si>
  <si>
    <t>Water Filtration</t>
  </si>
  <si>
    <t>Parks/Rec. Facilities</t>
  </si>
  <si>
    <t>Lighting Districts</t>
  </si>
  <si>
    <t>Park/rec facilities excludes public library and music hall</t>
  </si>
  <si>
    <t>This might be the small bldg at Lansing Park</t>
  </si>
  <si>
    <t>lights for bike trail</t>
  </si>
  <si>
    <t>Inc. Public Library, Music Hall &amp; Senior Center</t>
  </si>
  <si>
    <t>Water Pump House</t>
  </si>
  <si>
    <t>GHG Emissions from Vehicles (MTCDE/yr)</t>
  </si>
  <si>
    <t>Gasoline &amp; Diesel</t>
  </si>
  <si>
    <t>(not avail)</t>
  </si>
  <si>
    <t>*</t>
  </si>
  <si>
    <t>(Code Dept is in the same bldg as City Hall &amp; might share utility bills; Police bldg connected to city hall as well, not sure if shares utility bills.)</t>
  </si>
  <si>
    <t>Notes</t>
  </si>
  <si>
    <t>3 total lighting districts</t>
  </si>
  <si>
    <t>name came from bill, probably streetlights</t>
  </si>
  <si>
    <t>added to water filtration category, for water delivery</t>
  </si>
  <si>
    <t>Streetlights excludes lighting for bike trail &amp; Sunset Park, which were categorized under bldgs &amp; facilities sector</t>
  </si>
  <si>
    <t>water taken from river for filtration (water delivery/supply)</t>
  </si>
  <si>
    <t>not listed as Admin under LGOP subcategory b/c owned by City but rented out under a special arrangement w/ theater company; City pays utility bills</t>
  </si>
  <si>
    <t>Inc. DPW facilities &amp; City Hall</t>
  </si>
  <si>
    <t>Propane CO2</t>
  </si>
  <si>
    <t>Propane CH4</t>
  </si>
  <si>
    <t>Propane N2O</t>
  </si>
  <si>
    <t>Acct Number (Elec)</t>
  </si>
  <si>
    <t>Acct Number (Nat. Gas)</t>
  </si>
  <si>
    <t>(Col. E on Utility Accts tab)</t>
  </si>
  <si>
    <t xml:space="preserve"> (Original unique values from col. G on Utility Accts tab)</t>
  </si>
  <si>
    <t>Propane Cost (USD/yr)</t>
  </si>
  <si>
    <t>Propane (gal/yr)</t>
  </si>
  <si>
    <t>City Facilities/Facility Groups</t>
  </si>
  <si>
    <t>Cohoes Individual Facilities &amp; Facility Groups</t>
  </si>
  <si>
    <t>Energy Cost (USD/yr)</t>
  </si>
  <si>
    <t>Liquid Propane CO2 (kg/MMBtu)</t>
  </si>
  <si>
    <t>Natural Gas CH4 (kg/MMBtu)</t>
  </si>
  <si>
    <t>Natural Gas N2O (kg/MMBtu)</t>
  </si>
  <si>
    <t>Natural Gas CO2 (kg/MMBtu)</t>
  </si>
  <si>
    <t>Electric CO2 (lb/MWh</t>
  </si>
  <si>
    <t>Electric CH4 (lb/MWh)</t>
  </si>
  <si>
    <t>Electric N2O (lb/MWh)</t>
  </si>
  <si>
    <t>1 kg =</t>
  </si>
  <si>
    <t>Total Propane MTCDE:</t>
  </si>
  <si>
    <t>Bldgs and Other Facilities</t>
  </si>
  <si>
    <t>Firehouses only</t>
  </si>
  <si>
    <t>Firehouses</t>
  </si>
  <si>
    <t>Misc</t>
  </si>
  <si>
    <t>Admin</t>
  </si>
  <si>
    <t>Total Outdoor Lighting</t>
  </si>
  <si>
    <t>Includes non-lighting district streetlights</t>
  </si>
  <si>
    <t>Wastewater Pump Stations</t>
  </si>
  <si>
    <t>Water Filtration Plant</t>
  </si>
  <si>
    <t>Water Supply Pump House</t>
  </si>
  <si>
    <t>Water Supply Treatment</t>
  </si>
  <si>
    <t>Sector</t>
  </si>
  <si>
    <t>Blgs and Facilities</t>
  </si>
  <si>
    <t>Total Buildings and Facilities</t>
  </si>
  <si>
    <t>DPW Facility</t>
  </si>
  <si>
    <t>There are 13 pump stations of this type.)</t>
  </si>
  <si>
    <t>There are 3 individual firehouses</t>
  </si>
  <si>
    <t>Parks/Rec Facilities</t>
  </si>
  <si>
    <t>Total of 10 (or 13?) pump stations for wastewater.</t>
  </si>
  <si>
    <t>What does this mean? $51k elec cost</t>
  </si>
  <si>
    <t>Individual Facility/Facility Group</t>
  </si>
  <si>
    <t>(Blgs and Facilities: Admin)</t>
  </si>
  <si>
    <t>(Blgs and Facilities: Misc)</t>
  </si>
  <si>
    <t>(Water Delivery: Water Supply Treatment)</t>
  </si>
  <si>
    <t>(Blgs and Facilities: Public Safety)</t>
  </si>
  <si>
    <t>(Blgs and Facilities: Recreation)</t>
  </si>
  <si>
    <t>Sector: Subcategory</t>
  </si>
  <si>
    <t>GHG Emissions (MTCDE)</t>
  </si>
  <si>
    <t>Electricity (KWH)</t>
  </si>
  <si>
    <t>Natural Gas (therms)</t>
  </si>
  <si>
    <t>Propane (gal)</t>
  </si>
  <si>
    <t>Energy Usage (MMBtu)</t>
  </si>
  <si>
    <t>Electricity Cost (USD)</t>
  </si>
  <si>
    <t>Nat. Gas Cost (USD)</t>
  </si>
  <si>
    <t>Propane Cost (USD)</t>
  </si>
  <si>
    <t>Total Cost (USD)</t>
  </si>
  <si>
    <t>Individual Facility or Facility Group</t>
  </si>
  <si>
    <t>(Wastewater Treatment: Pump Station)</t>
  </si>
  <si>
    <t>(Water Delivery: Pump Station)</t>
  </si>
  <si>
    <t>metric tons</t>
  </si>
  <si>
    <t>1 KWH =</t>
  </si>
  <si>
    <t>MWH</t>
  </si>
  <si>
    <t xml:space="preserve">1 metric ton = </t>
  </si>
  <si>
    <t>lbs</t>
  </si>
  <si>
    <t>(CH4 to CO2e)</t>
  </si>
  <si>
    <t>(N2O to CO2e)</t>
  </si>
  <si>
    <t>Liquid Propane CH4 (g/MMBtu)</t>
  </si>
  <si>
    <t>Liquid Propane N2O (g/MMBtu)</t>
  </si>
  <si>
    <t>1 g =</t>
  </si>
  <si>
    <t>The Code Dept is located in City Hall and the Police Dept bldg is connected to City Hall; does the Police Dept get separate utility bills from City Hall?</t>
  </si>
  <si>
    <t>Silliman Park</t>
  </si>
  <si>
    <t>Subtotal Not Assoc w/ a Facility</t>
  </si>
  <si>
    <t>Subtotal Facilities (water &amp; non-water)</t>
  </si>
  <si>
    <t>Public Safety (Firehouses)</t>
  </si>
  <si>
    <t>FACILITY TABLE FORMATTED FOR PASTING INTO REPORT (sorted by cost)</t>
  </si>
  <si>
    <t>Nat Gas Default CH4 factor (p.205 LGOP) = .005 kg CH4/MMBTU</t>
  </si>
  <si>
    <t>Nat Gas Default N2O factor (p.205 LGOP) = .0001 kg N2O/MMBTU</t>
  </si>
  <si>
    <t>NOTE: Use eGRID for updated NYUP emissions factors.</t>
  </si>
  <si>
    <t>3 total Firehouses</t>
  </si>
  <si>
    <t>Streetlights and Traffic Signals Subgroups</t>
  </si>
  <si>
    <t>Streetlights (Other)</t>
  </si>
  <si>
    <t>% of emissions not assoc. w/ a facility:</t>
  </si>
  <si>
    <t>Bldgs Sector Subcategories</t>
  </si>
  <si>
    <t>City Dept (Vehicles Only)</t>
  </si>
  <si>
    <t>These 5 facilities (above) comprise 75% of all facility-related emissions.</t>
  </si>
  <si>
    <t>Misc (Senior Ctr, Music Hall, Public Lib)</t>
  </si>
  <si>
    <t>DPW Facility includes office bldgs &amp; garages</t>
  </si>
  <si>
    <t>Cohoes Departments</t>
  </si>
</sst>
</file>

<file path=xl/styles.xml><?xml version="1.0" encoding="utf-8"?>
<styleSheet xmlns="http://schemas.openxmlformats.org/spreadsheetml/2006/main">
  <numFmts count="12">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 numFmtId="168" formatCode="_(&quot;$&quot;* #,##0_);_(&quot;$&quot;* \(#,##0\);_(&quot;$&quot;* &quot;-&quot;??_);_(@_)"/>
    <numFmt numFmtId="169" formatCode="0.0"/>
    <numFmt numFmtId="170" formatCode="0.0_);\(0.0\)"/>
    <numFmt numFmtId="171" formatCode="0.0000"/>
    <numFmt numFmtId="172" formatCode="0.000000"/>
    <numFmt numFmtId="173" formatCode="_(* #,##0.0_);_(* \(#,##0.0\);_(* &quot;-&quot;??_);_(@_)"/>
  </numFmts>
  <fonts count="40">
    <font>
      <sz val="11"/>
      <color theme="1"/>
      <name val="Calibri"/>
      <family val="2"/>
      <scheme val="minor"/>
    </font>
    <font>
      <sz val="11"/>
      <color indexed="8"/>
      <name val="Calibri"/>
      <family val="2"/>
    </font>
    <font>
      <b/>
      <sz val="11"/>
      <color indexed="8"/>
      <name val="Calibri"/>
      <family val="2"/>
    </font>
    <font>
      <i/>
      <sz val="11"/>
      <color indexed="8"/>
      <name val="Calibri"/>
      <family val="2"/>
    </font>
    <font>
      <b/>
      <u/>
      <sz val="11"/>
      <color indexed="8"/>
      <name val="Calibri"/>
      <family val="2"/>
    </font>
    <font>
      <b/>
      <sz val="11"/>
      <name val="Calibri"/>
      <family val="2"/>
    </font>
    <font>
      <sz val="10"/>
      <name val="Arial"/>
      <family val="2"/>
    </font>
    <font>
      <u/>
      <sz val="11"/>
      <color indexed="8"/>
      <name val="Calibri"/>
      <family val="2"/>
    </font>
    <font>
      <sz val="8"/>
      <name val="Calibri"/>
      <family val="2"/>
    </font>
    <font>
      <sz val="11"/>
      <color rgb="FF9C6500"/>
      <name val="Calibri"/>
      <family val="2"/>
      <scheme val="minor"/>
    </font>
    <font>
      <b/>
      <sz val="11"/>
      <color theme="1"/>
      <name val="Calibri"/>
      <family val="2"/>
      <scheme val="minor"/>
    </font>
    <font>
      <sz val="11"/>
      <color rgb="FF1F497D"/>
      <name val="Calibri"/>
      <family val="2"/>
      <scheme val="minor"/>
    </font>
    <font>
      <sz val="11"/>
      <name val="Calibri"/>
      <scheme val="minor"/>
    </font>
    <font>
      <b/>
      <sz val="11"/>
      <name val="Calibri"/>
      <scheme val="minor"/>
    </font>
    <font>
      <b/>
      <u/>
      <sz val="11"/>
      <name val="Calibri"/>
      <scheme val="minor"/>
    </font>
    <font>
      <b/>
      <sz val="11"/>
      <color indexed="8"/>
      <name val="Calibri"/>
      <scheme val="minor"/>
    </font>
    <font>
      <sz val="11"/>
      <color indexed="8"/>
      <name val="Calibri"/>
      <scheme val="minor"/>
    </font>
    <font>
      <u/>
      <sz val="11"/>
      <color theme="10"/>
      <name val="Calibri"/>
      <family val="2"/>
      <scheme val="minor"/>
    </font>
    <font>
      <u/>
      <sz val="11"/>
      <color theme="11"/>
      <name val="Calibri"/>
      <family val="2"/>
      <scheme val="minor"/>
    </font>
    <font>
      <b/>
      <sz val="16"/>
      <color theme="1"/>
      <name val="Calibri"/>
      <scheme val="minor"/>
    </font>
    <font>
      <sz val="11"/>
      <color theme="1"/>
      <name val="Calibri"/>
      <family val="2"/>
      <scheme val="minor"/>
    </font>
    <font>
      <b/>
      <sz val="11"/>
      <color rgb="FF000000"/>
      <name val="Calibri"/>
      <family val="2"/>
      <scheme val="minor"/>
    </font>
    <font>
      <sz val="11"/>
      <color rgb="FF000000"/>
      <name val="Calibri"/>
      <family val="2"/>
      <scheme val="minor"/>
    </font>
    <font>
      <b/>
      <sz val="16"/>
      <color indexed="8"/>
      <name val="Calibri"/>
    </font>
    <font>
      <b/>
      <u/>
      <sz val="11"/>
      <color theme="1"/>
      <name val="Calibri"/>
      <scheme val="minor"/>
    </font>
    <font>
      <b/>
      <sz val="8"/>
      <color theme="1"/>
      <name val="Calibri"/>
    </font>
    <font>
      <b/>
      <sz val="8"/>
      <color indexed="8"/>
      <name val="Calibri"/>
    </font>
    <font>
      <b/>
      <sz val="8"/>
      <color rgb="FF000000"/>
      <name val="Calibri"/>
    </font>
    <font>
      <sz val="8"/>
      <color theme="1"/>
      <name val="Calibri"/>
    </font>
    <font>
      <i/>
      <sz val="8"/>
      <color theme="1"/>
      <name val="Calibri"/>
    </font>
    <font>
      <i/>
      <sz val="8"/>
      <color rgb="FF000000"/>
      <name val="Calibri"/>
      <scheme val="minor"/>
    </font>
    <font>
      <sz val="9"/>
      <color indexed="8"/>
      <name val="Calibri"/>
    </font>
    <font>
      <sz val="9"/>
      <color theme="1"/>
      <name val="Calibri"/>
    </font>
    <font>
      <b/>
      <sz val="11"/>
      <color theme="1"/>
      <name val="Calibri"/>
    </font>
    <font>
      <sz val="11"/>
      <color theme="1"/>
      <name val="Calibri"/>
    </font>
    <font>
      <i/>
      <sz val="11"/>
      <color theme="1"/>
      <name val="Calibri"/>
    </font>
    <font>
      <sz val="8"/>
      <color indexed="8"/>
      <name val="Calibri"/>
    </font>
    <font>
      <i/>
      <sz val="11"/>
      <color rgb="FF000000"/>
      <name val="Calibri"/>
      <scheme val="minor"/>
    </font>
    <font>
      <b/>
      <i/>
      <sz val="11"/>
      <color rgb="FF000000"/>
      <name val="Calibri"/>
      <scheme val="minor"/>
    </font>
    <font>
      <b/>
      <i/>
      <sz val="11"/>
      <color theme="1"/>
      <name val="Calibri"/>
      <scheme val="minor"/>
    </font>
  </fonts>
  <fills count="2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rgb="FFFFEB9C"/>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CCFFCC"/>
        <bgColor indexed="64"/>
      </patternFill>
    </fill>
    <fill>
      <patternFill patternType="solid">
        <fgColor rgb="FFFDE9D9"/>
        <bgColor rgb="FF000000"/>
      </patternFill>
    </fill>
    <fill>
      <patternFill patternType="solid">
        <fgColor theme="5" tint="0.79998168889431442"/>
        <bgColor indexed="64"/>
      </patternFill>
    </fill>
    <fill>
      <patternFill patternType="solid">
        <fgColor theme="2" tint="-9.9978637043366805E-2"/>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double">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781">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5" borderId="0" applyNumberFormat="0" applyBorder="0" applyAlignment="0" applyProtection="0"/>
    <xf numFmtId="0" fontId="6" fillId="0" borderId="0"/>
    <xf numFmtId="0" fontId="6"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9" fontId="20"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388">
    <xf numFmtId="0" fontId="0" fillId="0" borderId="0" xfId="0"/>
    <xf numFmtId="0" fontId="3" fillId="0" borderId="0" xfId="0" applyFont="1"/>
    <xf numFmtId="0" fontId="2" fillId="0" borderId="0" xfId="0" applyFont="1" applyFill="1"/>
    <xf numFmtId="0" fontId="0" fillId="0" borderId="0" xfId="0" applyFill="1"/>
    <xf numFmtId="4" fontId="0" fillId="0" borderId="0" xfId="0" applyNumberFormat="1"/>
    <xf numFmtId="1" fontId="0" fillId="0" borderId="0" xfId="0" applyNumberFormat="1" applyFont="1"/>
    <xf numFmtId="1" fontId="0" fillId="0" borderId="0" xfId="0" applyNumberFormat="1"/>
    <xf numFmtId="0" fontId="2" fillId="0" borderId="0" xfId="0" applyFont="1"/>
    <xf numFmtId="165" fontId="0" fillId="0" borderId="0" xfId="0" applyNumberFormat="1"/>
    <xf numFmtId="4" fontId="3" fillId="0" borderId="0" xfId="0" applyNumberFormat="1" applyFont="1"/>
    <xf numFmtId="165" fontId="3" fillId="0" borderId="0" xfId="0" applyNumberFormat="1" applyFont="1"/>
    <xf numFmtId="4" fontId="0" fillId="0" borderId="1" xfId="0" applyNumberFormat="1" applyBorder="1"/>
    <xf numFmtId="4" fontId="0" fillId="4" borderId="1" xfId="0" applyNumberFormat="1" applyFill="1" applyBorder="1"/>
    <xf numFmtId="0" fontId="2" fillId="4" borderId="1" xfId="0" applyFont="1" applyFill="1" applyBorder="1"/>
    <xf numFmtId="4" fontId="2" fillId="4" borderId="1" xfId="0" applyNumberFormat="1" applyFont="1" applyFill="1" applyBorder="1"/>
    <xf numFmtId="164" fontId="7" fillId="0" borderId="0" xfId="0" applyNumberFormat="1" applyFont="1" applyFill="1"/>
    <xf numFmtId="0" fontId="0" fillId="0" borderId="1" xfId="0" applyFill="1" applyBorder="1"/>
    <xf numFmtId="165" fontId="0" fillId="0" borderId="1" xfId="2" applyNumberFormat="1" applyFont="1" applyFill="1" applyBorder="1"/>
    <xf numFmtId="3" fontId="0" fillId="0" borderId="1" xfId="0" applyNumberFormat="1" applyFill="1" applyBorder="1"/>
    <xf numFmtId="4" fontId="0" fillId="0" borderId="1" xfId="0" applyNumberFormat="1" applyFill="1" applyBorder="1"/>
    <xf numFmtId="0" fontId="4" fillId="0" borderId="0" xfId="0" applyFont="1" applyFill="1"/>
    <xf numFmtId="0" fontId="3" fillId="0" borderId="0" xfId="0" applyFont="1" applyFill="1"/>
    <xf numFmtId="0" fontId="0" fillId="0" borderId="0" xfId="0" applyFill="1" applyAlignment="1">
      <alignment horizontal="right"/>
    </xf>
    <xf numFmtId="0" fontId="0" fillId="0" borderId="0" xfId="0" applyFill="1" applyAlignment="1"/>
    <xf numFmtId="165" fontId="0" fillId="6" borderId="1" xfId="2" applyNumberFormat="1" applyFont="1" applyFill="1" applyBorder="1"/>
    <xf numFmtId="3" fontId="0" fillId="6" borderId="1" xfId="0" applyNumberFormat="1" applyFill="1" applyBorder="1"/>
    <xf numFmtId="0" fontId="12" fillId="0" borderId="0" xfId="0" applyFont="1"/>
    <xf numFmtId="0" fontId="12" fillId="0" borderId="0" xfId="0" applyFont="1" applyFill="1"/>
    <xf numFmtId="1" fontId="12" fillId="0" borderId="0" xfId="0" applyNumberFormat="1" applyFont="1" applyFill="1"/>
    <xf numFmtId="165" fontId="12" fillId="0" borderId="0" xfId="0" applyNumberFormat="1" applyFont="1" applyFill="1" applyAlignment="1">
      <alignment horizontal="right"/>
    </xf>
    <xf numFmtId="0" fontId="14" fillId="8" borderId="1" xfId="0" applyFont="1" applyFill="1" applyBorder="1" applyAlignment="1">
      <alignment horizontal="center" vertical="top" wrapText="1"/>
    </xf>
    <xf numFmtId="49" fontId="14" fillId="8" borderId="1" xfId="0" applyNumberFormat="1" applyFont="1" applyFill="1" applyBorder="1" applyAlignment="1">
      <alignment horizontal="center" vertical="top" wrapText="1"/>
    </xf>
    <xf numFmtId="0" fontId="14" fillId="7" borderId="1" xfId="0" applyFont="1" applyFill="1" applyBorder="1" applyAlignment="1">
      <alignment horizontal="center" vertical="top" wrapText="1"/>
    </xf>
    <xf numFmtId="1" fontId="14" fillId="7" borderId="1" xfId="0" applyNumberFormat="1" applyFont="1" applyFill="1" applyBorder="1" applyAlignment="1">
      <alignment horizontal="center" vertical="top" wrapText="1"/>
    </xf>
    <xf numFmtId="0" fontId="14" fillId="2" borderId="1" xfId="0" applyFont="1" applyFill="1" applyBorder="1" applyAlignment="1">
      <alignment horizontal="center" vertical="top" wrapText="1"/>
    </xf>
    <xf numFmtId="0" fontId="14" fillId="3" borderId="1" xfId="0" applyFont="1" applyFill="1" applyBorder="1" applyAlignment="1">
      <alignment horizontal="center" vertical="top" wrapText="1"/>
    </xf>
    <xf numFmtId="0" fontId="12" fillId="0" borderId="0" xfId="0" applyFont="1" applyAlignment="1">
      <alignment horizontal="center" vertical="top"/>
    </xf>
    <xf numFmtId="49" fontId="12" fillId="0" borderId="2" xfId="0" applyNumberFormat="1" applyFont="1" applyFill="1" applyBorder="1"/>
    <xf numFmtId="0" fontId="12" fillId="8" borderId="1" xfId="0" applyFont="1" applyFill="1" applyBorder="1"/>
    <xf numFmtId="49" fontId="12" fillId="8" borderId="1" xfId="4" applyNumberFormat="1" applyFont="1" applyFill="1" applyBorder="1"/>
    <xf numFmtId="49" fontId="12" fillId="8" borderId="1" xfId="0" applyNumberFormat="1" applyFont="1" applyFill="1" applyBorder="1"/>
    <xf numFmtId="49" fontId="12" fillId="7" borderId="1" xfId="0" applyNumberFormat="1" applyFont="1" applyFill="1" applyBorder="1"/>
    <xf numFmtId="0" fontId="12" fillId="7" borderId="1" xfId="0" applyFont="1" applyFill="1" applyBorder="1"/>
    <xf numFmtId="1" fontId="12" fillId="7" borderId="1" xfId="0" applyNumberFormat="1" applyFont="1" applyFill="1" applyBorder="1"/>
    <xf numFmtId="49" fontId="12" fillId="2" borderId="1" xfId="0" applyNumberFormat="1" applyFont="1" applyFill="1" applyBorder="1"/>
    <xf numFmtId="0" fontId="12" fillId="2" borderId="1" xfId="0" applyFont="1" applyFill="1" applyBorder="1"/>
    <xf numFmtId="1" fontId="12" fillId="3" borderId="1" xfId="4" applyNumberFormat="1" applyFont="1" applyFill="1" applyBorder="1"/>
    <xf numFmtId="165" fontId="12" fillId="3" borderId="1" xfId="4" applyNumberFormat="1" applyFont="1" applyFill="1" applyBorder="1"/>
    <xf numFmtId="49" fontId="12" fillId="0" borderId="0" xfId="0" applyNumberFormat="1" applyFont="1" applyFill="1"/>
    <xf numFmtId="0" fontId="0" fillId="2" borderId="1" xfId="0" applyFont="1" applyFill="1" applyBorder="1"/>
    <xf numFmtId="1" fontId="12" fillId="3" borderId="1" xfId="1" applyNumberFormat="1" applyFont="1" applyFill="1" applyBorder="1"/>
    <xf numFmtId="165" fontId="12" fillId="3" borderId="1" xfId="0" applyNumberFormat="1" applyFont="1" applyFill="1" applyBorder="1"/>
    <xf numFmtId="49" fontId="12" fillId="8" borderId="1" xfId="5" applyNumberFormat="1" applyFont="1" applyFill="1" applyBorder="1"/>
    <xf numFmtId="0" fontId="12" fillId="7" borderId="1" xfId="4" applyFont="1" applyFill="1" applyBorder="1"/>
    <xf numFmtId="0" fontId="12" fillId="8" borderId="1" xfId="3" applyFont="1" applyFill="1" applyBorder="1"/>
    <xf numFmtId="0" fontId="12" fillId="7" borderId="1" xfId="3" applyFont="1" applyFill="1" applyBorder="1"/>
    <xf numFmtId="1" fontId="12" fillId="0" borderId="0" xfId="0" applyNumberFormat="1" applyFont="1"/>
    <xf numFmtId="0" fontId="12" fillId="2" borderId="1" xfId="3" applyFont="1" applyFill="1" applyBorder="1"/>
    <xf numFmtId="49" fontId="12" fillId="7" borderId="1" xfId="0" applyNumberFormat="1" applyFont="1" applyFill="1" applyBorder="1" applyAlignment="1">
      <alignment wrapText="1"/>
    </xf>
    <xf numFmtId="0" fontId="0" fillId="6" borderId="1" xfId="0" applyFill="1" applyBorder="1" applyAlignment="1">
      <alignment horizontal="right"/>
    </xf>
    <xf numFmtId="2" fontId="12" fillId="0" borderId="0" xfId="0" applyNumberFormat="1" applyFont="1"/>
    <xf numFmtId="0" fontId="2" fillId="0" borderId="0" xfId="0" applyFont="1" applyFill="1" applyAlignment="1">
      <alignment horizontal="center" wrapText="1"/>
    </xf>
    <xf numFmtId="4" fontId="0" fillId="0" borderId="0" xfId="0" applyNumberFormat="1" applyFill="1"/>
    <xf numFmtId="0" fontId="0" fillId="0" borderId="0" xfId="0" applyBorder="1"/>
    <xf numFmtId="0" fontId="11" fillId="0" borderId="0" xfId="0" applyFont="1" applyBorder="1"/>
    <xf numFmtId="49" fontId="12" fillId="0" borderId="0" xfId="0" applyNumberFormat="1" applyFont="1" applyFill="1" applyBorder="1"/>
    <xf numFmtId="0" fontId="12" fillId="0" borderId="0" xfId="3" applyFont="1" applyFill="1" applyBorder="1"/>
    <xf numFmtId="49" fontId="12" fillId="0" borderId="0" xfId="0" applyNumberFormat="1" applyFont="1" applyFill="1" applyBorder="1" applyAlignment="1">
      <alignment wrapText="1"/>
    </xf>
    <xf numFmtId="0" fontId="0" fillId="0" borderId="0" xfId="0" applyFill="1" applyBorder="1" applyAlignment="1">
      <alignment horizontal="right"/>
    </xf>
    <xf numFmtId="0" fontId="0" fillId="0" borderId="0" xfId="0" applyFill="1" applyBorder="1" applyAlignment="1">
      <alignment horizontal="center"/>
    </xf>
    <xf numFmtId="3" fontId="0" fillId="0" borderId="0" xfId="0" applyNumberFormat="1" applyFill="1" applyBorder="1"/>
    <xf numFmtId="4" fontId="0" fillId="0" borderId="0" xfId="0" applyNumberFormat="1" applyFill="1" applyBorder="1"/>
    <xf numFmtId="0" fontId="12" fillId="0" borderId="0" xfId="0" applyFont="1" applyBorder="1"/>
    <xf numFmtId="44" fontId="0" fillId="0" borderId="0" xfId="2" applyFont="1"/>
    <xf numFmtId="0" fontId="19" fillId="0" borderId="0" xfId="0" applyFont="1" applyFill="1" applyAlignment="1">
      <alignment horizontal="center"/>
    </xf>
    <xf numFmtId="165" fontId="0" fillId="0" borderId="0" xfId="2" applyNumberFormat="1" applyFont="1" applyFill="1"/>
    <xf numFmtId="0" fontId="2" fillId="0" borderId="0" xfId="0" applyFont="1" applyFill="1" applyAlignment="1">
      <alignment horizontal="right"/>
    </xf>
    <xf numFmtId="4" fontId="2" fillId="0" borderId="0" xfId="0" applyNumberFormat="1" applyFont="1" applyFill="1"/>
    <xf numFmtId="165" fontId="2" fillId="0" borderId="0" xfId="2" applyNumberFormat="1" applyFont="1" applyFill="1"/>
    <xf numFmtId="0" fontId="13" fillId="0" borderId="7" xfId="0" applyFont="1" applyFill="1" applyBorder="1" applyAlignment="1">
      <alignment horizontal="right"/>
    </xf>
    <xf numFmtId="4" fontId="0" fillId="0" borderId="7" xfId="0" applyNumberFormat="1" applyBorder="1"/>
    <xf numFmtId="0" fontId="0" fillId="0" borderId="8" xfId="0" applyFill="1" applyBorder="1"/>
    <xf numFmtId="0" fontId="2" fillId="0" borderId="8" xfId="0" applyFont="1" applyFill="1" applyBorder="1" applyAlignment="1">
      <alignment horizontal="center" wrapText="1"/>
    </xf>
    <xf numFmtId="1" fontId="12" fillId="0" borderId="5" xfId="0" applyNumberFormat="1" applyFont="1" applyFill="1" applyBorder="1"/>
    <xf numFmtId="0" fontId="0" fillId="0" borderId="9" xfId="0" applyBorder="1"/>
    <xf numFmtId="0" fontId="12" fillId="11" borderId="1" xfId="0" applyFont="1" applyFill="1" applyBorder="1"/>
    <xf numFmtId="4" fontId="12" fillId="11" borderId="1" xfId="0" applyNumberFormat="1" applyFont="1" applyFill="1" applyBorder="1"/>
    <xf numFmtId="165" fontId="12" fillId="11" borderId="1" xfId="0" applyNumberFormat="1" applyFont="1" applyFill="1" applyBorder="1"/>
    <xf numFmtId="165" fontId="0" fillId="0" borderId="1" xfId="0" applyNumberFormat="1" applyFill="1" applyBorder="1"/>
    <xf numFmtId="0" fontId="5" fillId="12" borderId="5" xfId="0" applyFont="1" applyFill="1" applyBorder="1" applyAlignment="1">
      <alignment horizontal="center" vertical="top" wrapText="1"/>
    </xf>
    <xf numFmtId="4" fontId="5" fillId="12" borderId="1" xfId="0" applyNumberFormat="1" applyFont="1" applyFill="1" applyBorder="1" applyAlignment="1">
      <alignment horizontal="center" vertical="top" wrapText="1"/>
    </xf>
    <xf numFmtId="165" fontId="5" fillId="12" borderId="1" xfId="0" applyNumberFormat="1" applyFont="1" applyFill="1" applyBorder="1" applyAlignment="1">
      <alignment horizontal="center" vertical="top" wrapText="1"/>
    </xf>
    <xf numFmtId="165" fontId="2" fillId="12" borderId="1" xfId="0" applyNumberFormat="1" applyFont="1" applyFill="1" applyBorder="1" applyAlignment="1">
      <alignment horizontal="center" vertical="top" wrapText="1"/>
    </xf>
    <xf numFmtId="44" fontId="0" fillId="0" borderId="0" xfId="2" applyFont="1" applyBorder="1"/>
    <xf numFmtId="0" fontId="12" fillId="0" borderId="8" xfId="0" applyFont="1" applyBorder="1"/>
    <xf numFmtId="0" fontId="10" fillId="0" borderId="0" xfId="0" applyFont="1" applyFill="1" applyBorder="1" applyAlignment="1">
      <alignment wrapText="1"/>
    </xf>
    <xf numFmtId="0" fontId="0" fillId="0" borderId="0" xfId="0" applyFill="1" applyBorder="1"/>
    <xf numFmtId="0" fontId="0" fillId="0" borderId="7" xfId="0" applyFill="1" applyBorder="1"/>
    <xf numFmtId="0" fontId="10" fillId="0" borderId="0" xfId="0" applyFont="1" applyFill="1" applyBorder="1" applyAlignment="1">
      <alignment horizontal="right"/>
    </xf>
    <xf numFmtId="9" fontId="0" fillId="0" borderId="0" xfId="72" applyFont="1" applyFill="1"/>
    <xf numFmtId="4" fontId="0" fillId="0" borderId="0" xfId="0" applyNumberFormat="1" applyBorder="1"/>
    <xf numFmtId="4" fontId="1" fillId="4" borderId="1" xfId="0" applyNumberFormat="1" applyFont="1" applyFill="1" applyBorder="1"/>
    <xf numFmtId="165" fontId="1" fillId="4" borderId="1" xfId="0" applyNumberFormat="1" applyFont="1" applyFill="1" applyBorder="1"/>
    <xf numFmtId="1" fontId="12" fillId="9" borderId="1" xfId="1" applyNumberFormat="1" applyFont="1" applyFill="1" applyBorder="1"/>
    <xf numFmtId="0" fontId="15" fillId="11" borderId="1" xfId="0" applyFont="1" applyFill="1" applyBorder="1" applyAlignment="1">
      <alignment horizontal="center" vertical="top" wrapText="1"/>
    </xf>
    <xf numFmtId="2" fontId="0" fillId="11" borderId="1" xfId="0" applyNumberFormat="1" applyFont="1" applyFill="1" applyBorder="1"/>
    <xf numFmtId="0" fontId="21" fillId="0" borderId="8" xfId="0" applyFont="1" applyBorder="1" applyAlignment="1">
      <alignment horizontal="center" wrapText="1"/>
    </xf>
    <xf numFmtId="0" fontId="13" fillId="0" borderId="0" xfId="0" applyFont="1" applyFill="1" applyBorder="1" applyAlignment="1">
      <alignment horizontal="right"/>
    </xf>
    <xf numFmtId="0" fontId="15" fillId="6" borderId="1" xfId="0" applyFont="1" applyFill="1" applyBorder="1" applyAlignment="1">
      <alignment horizontal="center" vertical="top" wrapText="1"/>
    </xf>
    <xf numFmtId="2" fontId="0" fillId="6" borderId="1" xfId="0" applyNumberFormat="1" applyFont="1" applyFill="1" applyBorder="1"/>
    <xf numFmtId="0" fontId="15" fillId="15" borderId="1" xfId="0" applyFont="1" applyFill="1" applyBorder="1" applyAlignment="1">
      <alignment horizontal="center" vertical="top" wrapText="1"/>
    </xf>
    <xf numFmtId="2" fontId="0" fillId="15" borderId="1" xfId="0" applyNumberFormat="1" applyFont="1" applyFill="1" applyBorder="1"/>
    <xf numFmtId="0" fontId="13" fillId="0" borderId="0" xfId="0" applyFont="1" applyFill="1"/>
    <xf numFmtId="0" fontId="13" fillId="0" borderId="0" xfId="0" applyFont="1" applyFill="1" applyAlignment="1">
      <alignment horizontal="right"/>
    </xf>
    <xf numFmtId="165" fontId="13" fillId="16" borderId="6" xfId="0" applyNumberFormat="1" applyFont="1" applyFill="1" applyBorder="1" applyAlignment="1">
      <alignment horizontal="right"/>
    </xf>
    <xf numFmtId="43" fontId="13" fillId="11" borderId="6" xfId="0" applyNumberFormat="1" applyFont="1" applyFill="1" applyBorder="1"/>
    <xf numFmtId="43" fontId="13" fillId="6" borderId="11" xfId="0" applyNumberFormat="1" applyFont="1" applyFill="1" applyBorder="1"/>
    <xf numFmtId="43" fontId="12" fillId="6" borderId="4" xfId="0" applyNumberFormat="1" applyFont="1" applyFill="1" applyBorder="1"/>
    <xf numFmtId="43" fontId="12" fillId="11" borderId="3" xfId="0" applyNumberFormat="1" applyFont="1" applyFill="1" applyBorder="1"/>
    <xf numFmtId="43" fontId="12" fillId="11" borderId="4" xfId="0" applyNumberFormat="1" applyFont="1" applyFill="1" applyBorder="1"/>
    <xf numFmtId="43" fontId="12" fillId="11" borderId="5" xfId="0" applyNumberFormat="1" applyFont="1" applyFill="1" applyBorder="1"/>
    <xf numFmtId="2" fontId="13" fillId="15" borderId="6" xfId="0" applyNumberFormat="1" applyFont="1" applyFill="1" applyBorder="1"/>
    <xf numFmtId="165" fontId="13" fillId="13" borderId="6" xfId="0" applyNumberFormat="1" applyFont="1" applyFill="1" applyBorder="1" applyAlignment="1">
      <alignment horizontal="right"/>
    </xf>
    <xf numFmtId="1" fontId="14" fillId="13" borderId="1" xfId="0" applyNumberFormat="1" applyFont="1" applyFill="1" applyBorder="1" applyAlignment="1">
      <alignment horizontal="center" vertical="top" wrapText="1"/>
    </xf>
    <xf numFmtId="165" fontId="14" fillId="13" borderId="1" xfId="0" applyNumberFormat="1" applyFont="1" applyFill="1" applyBorder="1" applyAlignment="1">
      <alignment horizontal="center" vertical="top" wrapText="1"/>
    </xf>
    <xf numFmtId="1" fontId="12" fillId="13" borderId="1" xfId="1" applyNumberFormat="1" applyFont="1" applyFill="1" applyBorder="1" applyAlignment="1">
      <alignment wrapText="1"/>
    </xf>
    <xf numFmtId="165" fontId="12" fillId="13" borderId="1" xfId="0" applyNumberFormat="1" applyFont="1" applyFill="1" applyBorder="1" applyAlignment="1">
      <alignment horizontal="right" wrapText="1"/>
    </xf>
    <xf numFmtId="1" fontId="12" fillId="13" borderId="1" xfId="0" applyNumberFormat="1" applyFont="1" applyFill="1" applyBorder="1"/>
    <xf numFmtId="165" fontId="12" fillId="13" borderId="1" xfId="0" applyNumberFormat="1" applyFont="1" applyFill="1" applyBorder="1" applyAlignment="1">
      <alignment horizontal="right"/>
    </xf>
    <xf numFmtId="1" fontId="12" fillId="13" borderId="1" xfId="1" applyNumberFormat="1" applyFont="1" applyFill="1" applyBorder="1"/>
    <xf numFmtId="1" fontId="12" fillId="13" borderId="1" xfId="5" applyNumberFormat="1" applyFont="1" applyFill="1" applyBorder="1"/>
    <xf numFmtId="165" fontId="12" fillId="13" borderId="1" xfId="5" applyNumberFormat="1" applyFont="1" applyFill="1" applyBorder="1" applyAlignment="1">
      <alignment horizontal="right"/>
    </xf>
    <xf numFmtId="4" fontId="0" fillId="0" borderId="5" xfId="0" applyNumberFormat="1" applyBorder="1"/>
    <xf numFmtId="0" fontId="2" fillId="12" borderId="3" xfId="0" applyFont="1" applyFill="1" applyBorder="1" applyAlignment="1">
      <alignment horizontal="right"/>
    </xf>
    <xf numFmtId="0" fontId="2" fillId="12" borderId="4" xfId="0" applyFont="1" applyFill="1" applyBorder="1" applyAlignment="1">
      <alignment horizontal="right"/>
    </xf>
    <xf numFmtId="4" fontId="12" fillId="17" borderId="1" xfId="0" applyNumberFormat="1" applyFont="1" applyFill="1" applyBorder="1"/>
    <xf numFmtId="4" fontId="0" fillId="17" borderId="1" xfId="0" applyNumberFormat="1" applyFill="1" applyBorder="1"/>
    <xf numFmtId="0" fontId="1" fillId="12" borderId="0" xfId="0" applyFont="1" applyFill="1" applyBorder="1" applyAlignment="1">
      <alignment horizontal="right"/>
    </xf>
    <xf numFmtId="4" fontId="0" fillId="12" borderId="0" xfId="0" applyNumberFormat="1" applyFill="1" applyBorder="1"/>
    <xf numFmtId="0" fontId="1" fillId="4" borderId="1" xfId="0" applyFont="1" applyFill="1" applyBorder="1"/>
    <xf numFmtId="2" fontId="1" fillId="12" borderId="12" xfId="0" applyNumberFormat="1" applyFont="1" applyFill="1" applyBorder="1" applyAlignment="1">
      <alignment horizontal="right"/>
    </xf>
    <xf numFmtId="4" fontId="2" fillId="12" borderId="1" xfId="0" applyNumberFormat="1" applyFont="1" applyFill="1" applyBorder="1" applyAlignment="1">
      <alignment horizontal="right"/>
    </xf>
    <xf numFmtId="0" fontId="2" fillId="0" borderId="7" xfId="0" applyFont="1" applyFill="1" applyBorder="1" applyAlignment="1">
      <alignment horizontal="right"/>
    </xf>
    <xf numFmtId="0" fontId="0" fillId="0" borderId="0" xfId="0" applyFont="1" applyFill="1"/>
    <xf numFmtId="0" fontId="0" fillId="0" borderId="0" xfId="0" applyFont="1" applyFill="1" applyBorder="1"/>
    <xf numFmtId="0" fontId="0" fillId="0" borderId="0" xfId="0" applyFill="1" applyAlignment="1">
      <alignment wrapText="1"/>
    </xf>
    <xf numFmtId="166" fontId="0" fillId="0" borderId="0" xfId="2" applyNumberFormat="1" applyFont="1" applyFill="1"/>
    <xf numFmtId="166" fontId="0" fillId="0" borderId="8" xfId="2" applyNumberFormat="1" applyFont="1" applyFill="1" applyBorder="1"/>
    <xf numFmtId="166" fontId="2" fillId="0" borderId="0" xfId="2" applyNumberFormat="1" applyFont="1" applyFill="1"/>
    <xf numFmtId="3" fontId="0" fillId="0" borderId="0" xfId="0" applyNumberFormat="1" applyFont="1" applyFill="1"/>
    <xf numFmtId="3" fontId="0" fillId="0" borderId="0" xfId="2" applyNumberFormat="1" applyFont="1" applyFill="1"/>
    <xf numFmtId="3" fontId="0" fillId="0" borderId="0" xfId="0" applyNumberFormat="1" applyFill="1"/>
    <xf numFmtId="3" fontId="0" fillId="0" borderId="8" xfId="0" applyNumberFormat="1" applyFill="1" applyBorder="1"/>
    <xf numFmtId="3" fontId="0" fillId="0" borderId="8" xfId="2" applyNumberFormat="1" applyFont="1" applyFill="1" applyBorder="1"/>
    <xf numFmtId="3" fontId="2" fillId="0" borderId="0" xfId="0" applyNumberFormat="1" applyFont="1" applyFill="1"/>
    <xf numFmtId="3" fontId="2" fillId="0" borderId="0" xfId="2" applyNumberFormat="1" applyFont="1" applyFill="1"/>
    <xf numFmtId="3" fontId="0" fillId="0" borderId="0" xfId="0" applyNumberFormat="1"/>
    <xf numFmtId="3" fontId="0" fillId="0" borderId="8" xfId="0" applyNumberFormat="1" applyBorder="1"/>
    <xf numFmtId="168" fontId="0" fillId="0" borderId="0" xfId="2" applyNumberFormat="1" applyFont="1"/>
    <xf numFmtId="168" fontId="0" fillId="0" borderId="8" xfId="2" applyNumberFormat="1" applyFont="1" applyBorder="1"/>
    <xf numFmtId="3" fontId="13" fillId="13" borderId="6" xfId="0" applyNumberFormat="1" applyFont="1" applyFill="1" applyBorder="1" applyAlignment="1">
      <alignment horizontal="right"/>
    </xf>
    <xf numFmtId="3" fontId="13" fillId="16" borderId="6" xfId="0" applyNumberFormat="1" applyFont="1" applyFill="1" applyBorder="1" applyAlignment="1">
      <alignment horizontal="right"/>
    </xf>
    <xf numFmtId="164" fontId="0" fillId="0" borderId="0" xfId="0" applyNumberFormat="1"/>
    <xf numFmtId="164" fontId="2" fillId="0" borderId="7" xfId="0" applyNumberFormat="1" applyFont="1" applyFill="1" applyBorder="1"/>
    <xf numFmtId="166" fontId="0" fillId="0" borderId="0" xfId="2" applyNumberFormat="1" applyFont="1"/>
    <xf numFmtId="166" fontId="2" fillId="0" borderId="7" xfId="2" applyNumberFormat="1" applyFont="1" applyFill="1" applyBorder="1"/>
    <xf numFmtId="0" fontId="2" fillId="0" borderId="0" xfId="0" applyFont="1" applyFill="1" applyBorder="1" applyAlignment="1">
      <alignment horizontal="center" wrapText="1"/>
    </xf>
    <xf numFmtId="1" fontId="12" fillId="9" borderId="1" xfId="4" applyNumberFormat="1" applyFont="1" applyFill="1" applyBorder="1"/>
    <xf numFmtId="3" fontId="0" fillId="0" borderId="0" xfId="0" applyNumberFormat="1" applyBorder="1"/>
    <xf numFmtId="168" fontId="0" fillId="0" borderId="0" xfId="2" applyNumberFormat="1" applyFont="1" applyBorder="1"/>
    <xf numFmtId="0" fontId="12" fillId="0" borderId="8" xfId="3" applyFont="1" applyFill="1" applyBorder="1"/>
    <xf numFmtId="3" fontId="0" fillId="0" borderId="0" xfId="2" applyNumberFormat="1" applyFont="1"/>
    <xf numFmtId="3" fontId="0" fillId="0" borderId="7" xfId="0" applyNumberFormat="1" applyBorder="1"/>
    <xf numFmtId="4" fontId="12" fillId="0" borderId="1" xfId="0" applyNumberFormat="1" applyFont="1" applyFill="1" applyBorder="1"/>
    <xf numFmtId="0" fontId="22" fillId="0" borderId="0" xfId="0" applyFont="1"/>
    <xf numFmtId="0" fontId="0" fillId="0" borderId="0" xfId="0" applyBorder="1" applyAlignment="1">
      <alignment horizontal="center" wrapText="1"/>
    </xf>
    <xf numFmtId="0" fontId="1" fillId="0" borderId="0" xfId="0" applyFont="1" applyFill="1" applyAlignment="1">
      <alignment horizontal="right" wrapText="1"/>
    </xf>
    <xf numFmtId="0" fontId="10" fillId="0" borderId="8" xfId="0" applyFont="1" applyFill="1" applyBorder="1" applyAlignment="1">
      <alignment horizontal="center" wrapText="1"/>
    </xf>
    <xf numFmtId="168" fontId="0" fillId="0" borderId="0" xfId="2" applyNumberFormat="1" applyFont="1" applyFill="1"/>
    <xf numFmtId="3" fontId="0" fillId="0" borderId="7" xfId="0" applyNumberFormat="1" applyFill="1" applyBorder="1"/>
    <xf numFmtId="168" fontId="0" fillId="0" borderId="7" xfId="2" applyNumberFormat="1" applyFont="1" applyFill="1" applyBorder="1"/>
    <xf numFmtId="168" fontId="0" fillId="0" borderId="8" xfId="2" applyNumberFormat="1" applyFont="1" applyFill="1" applyBorder="1"/>
    <xf numFmtId="0" fontId="0" fillId="0" borderId="0" xfId="0" applyFill="1" applyAlignment="1">
      <alignment horizontal="center"/>
    </xf>
    <xf numFmtId="49" fontId="12" fillId="0" borderId="8" xfId="0" applyNumberFormat="1" applyFont="1" applyFill="1" applyBorder="1"/>
    <xf numFmtId="0" fontId="10" fillId="0" borderId="8" xfId="0" applyFont="1" applyFill="1" applyBorder="1" applyAlignment="1">
      <alignment wrapText="1"/>
    </xf>
    <xf numFmtId="0" fontId="12" fillId="0" borderId="0" xfId="0" applyFont="1" applyFill="1" applyBorder="1"/>
    <xf numFmtId="165" fontId="0" fillId="0" borderId="1" xfId="0" applyNumberFormat="1" applyFill="1" applyBorder="1" applyAlignment="1">
      <alignment horizontal="center"/>
    </xf>
    <xf numFmtId="165" fontId="0" fillId="0" borderId="1" xfId="0" applyNumberFormat="1" applyFill="1" applyBorder="1" applyAlignment="1">
      <alignment horizontal="right"/>
    </xf>
    <xf numFmtId="165" fontId="1" fillId="8" borderId="10" xfId="0" applyNumberFormat="1" applyFont="1" applyFill="1" applyBorder="1"/>
    <xf numFmtId="165" fontId="0" fillId="8" borderId="3" xfId="0" applyNumberFormat="1" applyFill="1" applyBorder="1" applyAlignment="1">
      <alignment horizontal="center"/>
    </xf>
    <xf numFmtId="4" fontId="12" fillId="17" borderId="5" xfId="0" applyNumberFormat="1" applyFont="1" applyFill="1" applyBorder="1"/>
    <xf numFmtId="165" fontId="1" fillId="4" borderId="12" xfId="0" applyNumberFormat="1" applyFont="1" applyFill="1" applyBorder="1"/>
    <xf numFmtId="165" fontId="2" fillId="18" borderId="14" xfId="0" applyNumberFormat="1" applyFont="1" applyFill="1" applyBorder="1"/>
    <xf numFmtId="4" fontId="0" fillId="12" borderId="2" xfId="0" applyNumberFormat="1" applyFill="1" applyBorder="1"/>
    <xf numFmtId="4" fontId="2" fillId="18" borderId="14" xfId="0" applyNumberFormat="1" applyFont="1" applyFill="1" applyBorder="1"/>
    <xf numFmtId="3" fontId="22" fillId="0" borderId="0" xfId="0" applyNumberFormat="1" applyFont="1" applyAlignment="1">
      <alignment vertical="top" wrapText="1"/>
    </xf>
    <xf numFmtId="0" fontId="0" fillId="19" borderId="1" xfId="0" applyFont="1" applyFill="1" applyBorder="1"/>
    <xf numFmtId="0" fontId="12" fillId="19" borderId="1" xfId="0" applyFont="1" applyFill="1" applyBorder="1"/>
    <xf numFmtId="168" fontId="0" fillId="0" borderId="0" xfId="0" applyNumberFormat="1"/>
    <xf numFmtId="0" fontId="21" fillId="0" borderId="0" xfId="0" applyFont="1" applyBorder="1" applyAlignment="1">
      <alignment horizontal="center" wrapText="1"/>
    </xf>
    <xf numFmtId="2" fontId="16" fillId="11" borderId="1" xfId="1" applyNumberFormat="1" applyFont="1" applyFill="1" applyBorder="1"/>
    <xf numFmtId="2" fontId="16" fillId="6" borderId="1" xfId="1" applyNumberFormat="1" applyFont="1" applyFill="1" applyBorder="1"/>
    <xf numFmtId="0" fontId="12" fillId="0" borderId="0" xfId="0" applyFont="1" applyFill="1" applyBorder="1" applyAlignment="1">
      <alignment horizontal="center"/>
    </xf>
    <xf numFmtId="0" fontId="14" fillId="13" borderId="1" xfId="0" applyFont="1" applyFill="1" applyBorder="1" applyAlignment="1">
      <alignment horizontal="center" vertical="top" wrapText="1"/>
    </xf>
    <xf numFmtId="49" fontId="12" fillId="13" borderId="1" xfId="0" applyNumberFormat="1" applyFont="1" applyFill="1" applyBorder="1"/>
    <xf numFmtId="0" fontId="12" fillId="13" borderId="1" xfId="3" applyFont="1" applyFill="1" applyBorder="1"/>
    <xf numFmtId="0" fontId="12" fillId="13" borderId="1" xfId="0" applyFont="1" applyFill="1" applyBorder="1"/>
    <xf numFmtId="44" fontId="12" fillId="0" borderId="0" xfId="2" applyFont="1" applyFill="1"/>
    <xf numFmtId="44" fontId="14" fillId="13" borderId="1" xfId="2" applyFont="1" applyFill="1" applyBorder="1" applyAlignment="1">
      <alignment horizontal="center" vertical="top" wrapText="1"/>
    </xf>
    <xf numFmtId="44" fontId="12" fillId="13" borderId="1" xfId="2" applyFont="1" applyFill="1" applyBorder="1"/>
    <xf numFmtId="0" fontId="12" fillId="20" borderId="1" xfId="0" applyFont="1" applyFill="1" applyBorder="1"/>
    <xf numFmtId="44" fontId="12" fillId="20" borderId="5" xfId="0" applyNumberFormat="1" applyFont="1" applyFill="1" applyBorder="1"/>
    <xf numFmtId="167" fontId="0" fillId="6" borderId="1" xfId="2" applyNumberFormat="1" applyFont="1" applyFill="1" applyBorder="1"/>
    <xf numFmtId="167" fontId="0" fillId="0" borderId="1" xfId="2" applyNumberFormat="1" applyFont="1" applyFill="1" applyBorder="1"/>
    <xf numFmtId="166" fontId="0" fillId="0" borderId="8" xfId="2" applyNumberFormat="1" applyFont="1" applyBorder="1"/>
    <xf numFmtId="0" fontId="10" fillId="10" borderId="8" xfId="0" applyFont="1" applyFill="1" applyBorder="1"/>
    <xf numFmtId="0" fontId="23" fillId="10" borderId="0" xfId="0" applyFont="1" applyFill="1"/>
    <xf numFmtId="0" fontId="12" fillId="0" borderId="15" xfId="0" applyFont="1" applyFill="1" applyBorder="1" applyAlignment="1">
      <alignment horizontal="right"/>
    </xf>
    <xf numFmtId="0" fontId="12" fillId="0" borderId="2" xfId="0" applyFont="1" applyFill="1" applyBorder="1" applyAlignment="1">
      <alignment horizontal="left"/>
    </xf>
    <xf numFmtId="0" fontId="12" fillId="0" borderId="13" xfId="0" applyFont="1" applyFill="1" applyBorder="1" applyAlignment="1">
      <alignment horizontal="right"/>
    </xf>
    <xf numFmtId="0" fontId="12" fillId="0" borderId="9" xfId="0" applyFont="1" applyFill="1" applyBorder="1" applyAlignment="1">
      <alignment horizontal="left"/>
    </xf>
    <xf numFmtId="0" fontId="12" fillId="0" borderId="16" xfId="0" applyFont="1" applyFill="1" applyBorder="1" applyAlignment="1">
      <alignment horizontal="right"/>
    </xf>
    <xf numFmtId="0" fontId="12" fillId="0" borderId="17" xfId="0" applyFont="1" applyFill="1" applyBorder="1" applyAlignment="1">
      <alignment horizontal="left"/>
    </xf>
    <xf numFmtId="0" fontId="12" fillId="0" borderId="1" xfId="0" applyFont="1" applyFill="1" applyBorder="1" applyAlignment="1">
      <alignment horizontal="right"/>
    </xf>
    <xf numFmtId="0" fontId="12" fillId="0" borderId="1" xfId="0" applyFont="1" applyFill="1" applyBorder="1" applyAlignment="1">
      <alignment horizontal="left"/>
    </xf>
    <xf numFmtId="0" fontId="0" fillId="0" borderId="0" xfId="0" applyAlignment="1">
      <alignment horizontal="right"/>
    </xf>
    <xf numFmtId="0" fontId="2" fillId="10" borderId="1" xfId="0" applyFont="1" applyFill="1" applyBorder="1" applyAlignment="1">
      <alignment horizontal="right"/>
    </xf>
    <xf numFmtId="0" fontId="2" fillId="10" borderId="1" xfId="0" applyFont="1" applyFill="1" applyBorder="1"/>
    <xf numFmtId="3" fontId="2" fillId="10" borderId="1" xfId="0" applyNumberFormat="1" applyFont="1" applyFill="1" applyBorder="1"/>
    <xf numFmtId="165" fontId="2" fillId="10" borderId="1" xfId="2" applyNumberFormat="1" applyFont="1" applyFill="1" applyBorder="1"/>
    <xf numFmtId="167" fontId="2" fillId="10" borderId="1" xfId="2" applyNumberFormat="1" applyFont="1" applyFill="1" applyBorder="1"/>
    <xf numFmtId="4" fontId="2" fillId="10" borderId="1" xfId="0" applyNumberFormat="1" applyFont="1" applyFill="1" applyBorder="1"/>
    <xf numFmtId="0" fontId="2" fillId="10" borderId="1" xfId="0" applyFont="1" applyFill="1" applyBorder="1" applyAlignment="1">
      <alignment wrapText="1"/>
    </xf>
    <xf numFmtId="0" fontId="2" fillId="10" borderId="1" xfId="0" applyFont="1" applyFill="1" applyBorder="1" applyAlignment="1">
      <alignment horizontal="center" wrapText="1"/>
    </xf>
    <xf numFmtId="0" fontId="10" fillId="0" borderId="0" xfId="0" applyFont="1" applyFill="1" applyAlignment="1">
      <alignment horizontal="left" vertical="top"/>
    </xf>
    <xf numFmtId="0" fontId="10" fillId="6" borderId="1" xfId="0" applyFont="1" applyFill="1" applyBorder="1"/>
    <xf numFmtId="0" fontId="10" fillId="0" borderId="1" xfId="0" applyFont="1" applyFill="1" applyBorder="1"/>
    <xf numFmtId="4" fontId="10" fillId="6" borderId="1" xfId="0" applyNumberFormat="1" applyFont="1" applyFill="1" applyBorder="1"/>
    <xf numFmtId="4" fontId="10" fillId="0" borderId="1" xfId="0" applyNumberFormat="1" applyFont="1" applyFill="1" applyBorder="1"/>
    <xf numFmtId="170" fontId="13" fillId="16" borderId="6" xfId="2" applyNumberFormat="1" applyFont="1" applyFill="1" applyBorder="1" applyAlignment="1">
      <alignment horizontal="right"/>
    </xf>
    <xf numFmtId="43" fontId="13" fillId="6" borderId="6" xfId="0" applyNumberFormat="1" applyFont="1" applyFill="1" applyBorder="1"/>
    <xf numFmtId="0" fontId="10" fillId="21" borderId="0" xfId="0" applyFont="1" applyFill="1" applyBorder="1" applyAlignment="1">
      <alignment wrapText="1"/>
    </xf>
    <xf numFmtId="49" fontId="13" fillId="6" borderId="8" xfId="0" applyNumberFormat="1" applyFont="1" applyFill="1" applyBorder="1"/>
    <xf numFmtId="0" fontId="10" fillId="22" borderId="8" xfId="0" applyFont="1" applyFill="1" applyBorder="1"/>
    <xf numFmtId="0" fontId="10" fillId="13" borderId="8" xfId="0" applyFont="1" applyFill="1" applyBorder="1"/>
    <xf numFmtId="0" fontId="12" fillId="0" borderId="0" xfId="3" applyFont="1" applyFill="1" applyBorder="1" applyAlignment="1">
      <alignment horizontal="right"/>
    </xf>
    <xf numFmtId="0" fontId="10" fillId="0" borderId="0" xfId="0" applyFont="1" applyBorder="1" applyAlignment="1">
      <alignment horizontal="center" wrapText="1"/>
    </xf>
    <xf numFmtId="49" fontId="12" fillId="0" borderId="7" xfId="0" applyNumberFormat="1" applyFont="1" applyFill="1" applyBorder="1"/>
    <xf numFmtId="0" fontId="0" fillId="0" borderId="7" xfId="0" applyBorder="1"/>
    <xf numFmtId="168" fontId="0" fillId="0" borderId="7" xfId="2" applyNumberFormat="1" applyFont="1" applyBorder="1"/>
    <xf numFmtId="168" fontId="0" fillId="0" borderId="0" xfId="2" applyNumberFormat="1" applyFont="1" applyFill="1" applyBorder="1"/>
    <xf numFmtId="49" fontId="13" fillId="0" borderId="0" xfId="0" applyNumberFormat="1" applyFont="1" applyFill="1" applyBorder="1"/>
    <xf numFmtId="0" fontId="21" fillId="0" borderId="0" xfId="0" applyFont="1" applyFill="1" applyBorder="1" applyAlignment="1">
      <alignment horizontal="center" wrapText="1"/>
    </xf>
    <xf numFmtId="0" fontId="10" fillId="0" borderId="0" xfId="0" applyFont="1" applyFill="1" applyBorder="1" applyAlignment="1">
      <alignment horizontal="center" wrapText="1"/>
    </xf>
    <xf numFmtId="0" fontId="21" fillId="0" borderId="0" xfId="0" applyFont="1" applyFill="1" applyBorder="1" applyAlignment="1">
      <alignment horizontal="left" vertical="top"/>
    </xf>
    <xf numFmtId="0" fontId="0" fillId="0" borderId="8" xfId="0" applyBorder="1"/>
    <xf numFmtId="0" fontId="10" fillId="14" borderId="0" xfId="0" applyFont="1" applyFill="1" applyBorder="1"/>
    <xf numFmtId="165" fontId="12" fillId="9" borderId="1" xfId="0" applyNumberFormat="1" applyFont="1" applyFill="1" applyBorder="1"/>
    <xf numFmtId="0" fontId="28" fillId="0" borderId="0" xfId="0" applyFont="1"/>
    <xf numFmtId="0" fontId="28" fillId="0" borderId="0" xfId="0" applyFont="1" applyBorder="1"/>
    <xf numFmtId="0" fontId="28" fillId="0" borderId="8" xfId="0" applyFont="1" applyBorder="1"/>
    <xf numFmtId="0" fontId="27" fillId="0" borderId="0" xfId="0" applyFont="1" applyFill="1" applyBorder="1" applyAlignment="1">
      <alignment horizontal="center" wrapText="1"/>
    </xf>
    <xf numFmtId="3" fontId="28" fillId="0" borderId="7" xfId="0" applyNumberFormat="1" applyFont="1" applyFill="1" applyBorder="1"/>
    <xf numFmtId="168" fontId="28" fillId="0" borderId="7" xfId="2" applyNumberFormat="1" applyFont="1" applyFill="1" applyBorder="1"/>
    <xf numFmtId="3" fontId="28" fillId="0" borderId="0" xfId="0" applyNumberFormat="1" applyFont="1" applyFill="1" applyBorder="1"/>
    <xf numFmtId="168" fontId="28" fillId="0" borderId="0" xfId="2" applyNumberFormat="1" applyFont="1" applyFill="1" applyBorder="1"/>
    <xf numFmtId="49" fontId="8" fillId="0" borderId="15" xfId="0" applyNumberFormat="1" applyFont="1" applyFill="1" applyBorder="1"/>
    <xf numFmtId="168" fontId="28" fillId="0" borderId="2" xfId="2" applyNumberFormat="1" applyFont="1" applyFill="1" applyBorder="1"/>
    <xf numFmtId="0" fontId="29" fillId="0" borderId="13" xfId="0" applyFont="1" applyBorder="1"/>
    <xf numFmtId="0" fontId="28" fillId="0" borderId="9" xfId="0" applyFont="1" applyBorder="1"/>
    <xf numFmtId="49" fontId="8" fillId="0" borderId="13" xfId="0" applyNumberFormat="1" applyFont="1" applyFill="1" applyBorder="1"/>
    <xf numFmtId="168" fontId="28" fillId="0" borderId="9" xfId="2" applyNumberFormat="1" applyFont="1" applyFill="1" applyBorder="1"/>
    <xf numFmtId="0" fontId="8" fillId="0" borderId="13" xfId="3" applyFont="1" applyFill="1" applyBorder="1"/>
    <xf numFmtId="49" fontId="8" fillId="0" borderId="13" xfId="0" applyNumberFormat="1" applyFont="1" applyFill="1" applyBorder="1" applyAlignment="1">
      <alignment wrapText="1"/>
    </xf>
    <xf numFmtId="0" fontId="30" fillId="0" borderId="13" xfId="0" applyFont="1" applyBorder="1"/>
    <xf numFmtId="0" fontId="30" fillId="0" borderId="16" xfId="0" applyFont="1" applyBorder="1"/>
    <xf numFmtId="0" fontId="28" fillId="0" borderId="17" xfId="0" applyFont="1" applyBorder="1"/>
    <xf numFmtId="0" fontId="25" fillId="0" borderId="3" xfId="0" applyFont="1" applyFill="1" applyBorder="1"/>
    <xf numFmtId="0" fontId="26" fillId="0" borderId="4" xfId="0" applyFont="1" applyFill="1" applyBorder="1" applyAlignment="1">
      <alignment horizontal="center" wrapText="1"/>
    </xf>
    <xf numFmtId="0" fontId="27" fillId="0" borderId="4" xfId="0" applyFont="1" applyFill="1" applyBorder="1" applyAlignment="1">
      <alignment horizontal="center" wrapText="1"/>
    </xf>
    <xf numFmtId="0" fontId="25" fillId="0" borderId="4" xfId="0" applyFont="1" applyFill="1" applyBorder="1" applyAlignment="1">
      <alignment horizontal="center" wrapText="1"/>
    </xf>
    <xf numFmtId="0" fontId="26" fillId="0" borderId="5" xfId="0" applyFont="1" applyFill="1" applyBorder="1" applyAlignment="1">
      <alignment horizontal="center" wrapText="1"/>
    </xf>
    <xf numFmtId="0" fontId="10" fillId="0" borderId="0" xfId="0" applyFont="1" applyFill="1" applyAlignment="1">
      <alignment horizontal="center" vertical="center"/>
    </xf>
    <xf numFmtId="0" fontId="1" fillId="0" borderId="0" xfId="0" applyFont="1" applyFill="1" applyAlignment="1">
      <alignment horizontal="left" wrapText="1"/>
    </xf>
    <xf numFmtId="172" fontId="0" fillId="6" borderId="1" xfId="0" applyNumberFormat="1" applyFont="1" applyFill="1" applyBorder="1"/>
    <xf numFmtId="171" fontId="0" fillId="11" borderId="1" xfId="0" applyNumberFormat="1" applyFont="1" applyFill="1" applyBorder="1"/>
    <xf numFmtId="173" fontId="0" fillId="0" borderId="0" xfId="0" applyNumberFormat="1" applyFill="1"/>
    <xf numFmtId="0" fontId="31" fillId="0" borderId="0" xfId="0" applyFont="1" applyFill="1" applyAlignment="1">
      <alignment horizontal="left" wrapText="1"/>
    </xf>
    <xf numFmtId="0" fontId="32" fillId="0" borderId="0" xfId="0" applyFont="1" applyAlignment="1">
      <alignment wrapText="1"/>
    </xf>
    <xf numFmtId="0" fontId="0" fillId="0" borderId="0" xfId="0"/>
    <xf numFmtId="0" fontId="33" fillId="0" borderId="0" xfId="0" applyFont="1" applyFill="1" applyAlignment="1">
      <alignment horizontal="left"/>
    </xf>
    <xf numFmtId="0" fontId="33" fillId="0" borderId="0" xfId="0" applyFont="1" applyFill="1" applyAlignment="1">
      <alignment horizontal="center"/>
    </xf>
    <xf numFmtId="0" fontId="34" fillId="0" borderId="0" xfId="0" applyFont="1" applyFill="1"/>
    <xf numFmtId="0" fontId="33" fillId="0" borderId="0" xfId="0" applyFont="1" applyFill="1" applyAlignment="1">
      <alignment horizontal="left" vertical="top"/>
    </xf>
    <xf numFmtId="0" fontId="34" fillId="0" borderId="0" xfId="0" applyFont="1" applyFill="1" applyBorder="1"/>
    <xf numFmtId="0" fontId="34" fillId="0" borderId="0" xfId="0" applyFont="1"/>
    <xf numFmtId="0" fontId="35" fillId="0" borderId="0" xfId="0" applyFont="1" applyFill="1" applyBorder="1"/>
    <xf numFmtId="0" fontId="34" fillId="0" borderId="0" xfId="0" applyFont="1" applyAlignment="1">
      <alignment wrapText="1"/>
    </xf>
    <xf numFmtId="0" fontId="22" fillId="0" borderId="0" xfId="0" applyFont="1" applyAlignment="1">
      <alignment horizontal="right"/>
    </xf>
    <xf numFmtId="3" fontId="22" fillId="0" borderId="0" xfId="0" applyNumberFormat="1" applyFont="1"/>
    <xf numFmtId="168" fontId="22" fillId="0" borderId="0" xfId="0" applyNumberFormat="1" applyFont="1"/>
    <xf numFmtId="0" fontId="28" fillId="0" borderId="0" xfId="0" applyFont="1" applyFill="1" applyBorder="1" applyAlignment="1">
      <alignment horizontal="right"/>
    </xf>
    <xf numFmtId="3" fontId="28" fillId="0" borderId="0" xfId="0" applyNumberFormat="1" applyFont="1"/>
    <xf numFmtId="168" fontId="28" fillId="0" borderId="0" xfId="2" applyNumberFormat="1" applyFont="1"/>
    <xf numFmtId="0" fontId="28" fillId="0" borderId="0" xfId="0" applyFont="1" applyFill="1" applyBorder="1"/>
    <xf numFmtId="164" fontId="0" fillId="0" borderId="0" xfId="1" applyNumberFormat="1" applyFont="1"/>
    <xf numFmtId="0" fontId="10" fillId="14" borderId="0" xfId="0" applyFont="1" applyFill="1"/>
    <xf numFmtId="169" fontId="12" fillId="0" borderId="9" xfId="0" applyNumberFormat="1" applyFont="1" applyFill="1" applyBorder="1" applyAlignment="1">
      <alignment horizontal="left"/>
    </xf>
    <xf numFmtId="0" fontId="13" fillId="10" borderId="8" xfId="0" applyFont="1" applyFill="1" applyBorder="1"/>
    <xf numFmtId="0" fontId="23" fillId="0" borderId="0" xfId="0" applyFont="1" applyFill="1"/>
    <xf numFmtId="0" fontId="33" fillId="0" borderId="0" xfId="0" applyFont="1" applyFill="1" applyBorder="1" applyAlignment="1">
      <alignment horizontal="center"/>
    </xf>
    <xf numFmtId="0" fontId="28" fillId="0" borderId="0" xfId="0" applyFont="1" applyFill="1" applyBorder="1" applyAlignment="1">
      <alignment horizontal="left"/>
    </xf>
    <xf numFmtId="0" fontId="36" fillId="0" borderId="0" xfId="0" applyFont="1" applyFill="1" applyBorder="1" applyAlignment="1">
      <alignment horizontal="center" wrapText="1"/>
    </xf>
    <xf numFmtId="3" fontId="28" fillId="0" borderId="0" xfId="0" applyNumberFormat="1" applyFont="1" applyFill="1" applyBorder="1" applyAlignment="1">
      <alignment horizontal="center"/>
    </xf>
    <xf numFmtId="3" fontId="28" fillId="0" borderId="0" xfId="2" applyNumberFormat="1" applyFont="1" applyFill="1" applyBorder="1" applyAlignment="1">
      <alignment horizontal="center"/>
    </xf>
    <xf numFmtId="166" fontId="28" fillId="0" borderId="0" xfId="2" applyNumberFormat="1" applyFont="1" applyFill="1" applyBorder="1" applyAlignment="1">
      <alignment horizontal="center"/>
    </xf>
    <xf numFmtId="0" fontId="34" fillId="0" borderId="0" xfId="0" applyFont="1" applyBorder="1"/>
    <xf numFmtId="3" fontId="28" fillId="0" borderId="0" xfId="0" applyNumberFormat="1" applyFont="1" applyBorder="1"/>
    <xf numFmtId="168" fontId="28" fillId="0" borderId="0" xfId="2" applyNumberFormat="1" applyFont="1" applyBorder="1"/>
    <xf numFmtId="0" fontId="37" fillId="0" borderId="0" xfId="0" applyFont="1" applyAlignment="1">
      <alignment horizontal="right"/>
    </xf>
    <xf numFmtId="9" fontId="37" fillId="0" borderId="0" xfId="72" applyFont="1"/>
    <xf numFmtId="0" fontId="22" fillId="0" borderId="3" xfId="0" applyFont="1" applyBorder="1" applyAlignment="1">
      <alignment horizontal="left"/>
    </xf>
    <xf numFmtId="0" fontId="22" fillId="0" borderId="4" xfId="0" applyFont="1" applyBorder="1" applyAlignment="1">
      <alignment horizontal="center" wrapText="1"/>
    </xf>
    <xf numFmtId="0" fontId="22" fillId="0" borderId="5" xfId="0" applyFont="1" applyBorder="1" applyAlignment="1">
      <alignment horizontal="center" wrapText="1"/>
    </xf>
    <xf numFmtId="0" fontId="22" fillId="0" borderId="13" xfId="0" applyFont="1" applyBorder="1"/>
    <xf numFmtId="3" fontId="0" fillId="0" borderId="0" xfId="0" applyNumberFormat="1" applyFont="1" applyFill="1" applyBorder="1"/>
    <xf numFmtId="3" fontId="0" fillId="0" borderId="0" xfId="2" applyNumberFormat="1" applyFont="1" applyFill="1" applyBorder="1"/>
    <xf numFmtId="166" fontId="0" fillId="0" borderId="9" xfId="2" applyNumberFormat="1" applyFont="1" applyFill="1" applyBorder="1"/>
    <xf numFmtId="0" fontId="22" fillId="0" borderId="16" xfId="0" applyFont="1" applyBorder="1"/>
    <xf numFmtId="166" fontId="0" fillId="0" borderId="17" xfId="2" applyNumberFormat="1" applyFont="1" applyFill="1" applyBorder="1"/>
    <xf numFmtId="0" fontId="37" fillId="0" borderId="13" xfId="0" applyFont="1" applyBorder="1" applyAlignment="1">
      <alignment horizontal="right"/>
    </xf>
    <xf numFmtId="3" fontId="37" fillId="0" borderId="0" xfId="0" applyNumberFormat="1" applyFont="1" applyBorder="1"/>
    <xf numFmtId="3" fontId="37" fillId="0" borderId="9" xfId="0" applyNumberFormat="1" applyFont="1" applyBorder="1"/>
    <xf numFmtId="3" fontId="22" fillId="0" borderId="0" xfId="0" applyNumberFormat="1" applyFont="1" applyBorder="1"/>
    <xf numFmtId="168" fontId="22" fillId="0" borderId="9" xfId="0" applyNumberFormat="1" applyFont="1" applyBorder="1"/>
    <xf numFmtId="0" fontId="0" fillId="0" borderId="16" xfId="0" applyFill="1" applyBorder="1"/>
    <xf numFmtId="0" fontId="0" fillId="0" borderId="13" xfId="0" applyBorder="1"/>
    <xf numFmtId="0" fontId="22" fillId="0" borderId="3" xfId="0" applyFont="1" applyBorder="1" applyAlignment="1">
      <alignment horizontal="right"/>
    </xf>
    <xf numFmtId="3" fontId="22" fillId="0" borderId="4" xfId="0" quotePrefix="1" applyNumberFormat="1" applyFont="1" applyBorder="1"/>
    <xf numFmtId="3" fontId="22" fillId="0" borderId="5" xfId="0" quotePrefix="1" applyNumberFormat="1" applyFont="1" applyBorder="1"/>
    <xf numFmtId="0" fontId="1" fillId="0" borderId="2" xfId="0" applyFont="1" applyFill="1" applyBorder="1" applyAlignment="1">
      <alignment horizontal="center" wrapText="1"/>
    </xf>
    <xf numFmtId="3" fontId="0" fillId="0" borderId="2" xfId="0" applyNumberFormat="1" applyBorder="1"/>
    <xf numFmtId="3" fontId="0" fillId="0" borderId="9" xfId="0" applyNumberFormat="1" applyBorder="1"/>
    <xf numFmtId="3" fontId="0" fillId="0" borderId="17" xfId="0" applyNumberFormat="1" applyBorder="1"/>
    <xf numFmtId="0" fontId="38" fillId="0" borderId="13" xfId="0" applyFont="1" applyBorder="1" applyAlignment="1">
      <alignment horizontal="right"/>
    </xf>
    <xf numFmtId="9" fontId="38" fillId="0" borderId="0" xfId="72" applyFont="1"/>
    <xf numFmtId="0" fontId="39" fillId="0" borderId="0" xfId="0" applyFont="1" applyAlignment="1">
      <alignment horizontal="right"/>
    </xf>
    <xf numFmtId="9" fontId="39" fillId="0" borderId="0" xfId="72" applyFont="1"/>
    <xf numFmtId="49" fontId="14" fillId="7" borderId="1" xfId="0" applyNumberFormat="1" applyFont="1" applyFill="1" applyBorder="1" applyAlignment="1">
      <alignment horizontal="center" vertical="top" wrapText="1"/>
    </xf>
    <xf numFmtId="49" fontId="12" fillId="7" borderId="1" xfId="5" applyNumberFormat="1" applyFont="1" applyFill="1" applyBorder="1"/>
    <xf numFmtId="0" fontId="0" fillId="0" borderId="0" xfId="0" applyBorder="1" applyAlignment="1">
      <alignment wrapText="1"/>
    </xf>
    <xf numFmtId="0" fontId="10" fillId="0" borderId="0" xfId="0" applyFont="1" applyBorder="1" applyAlignment="1">
      <alignment wrapText="1"/>
    </xf>
    <xf numFmtId="0" fontId="10" fillId="10" borderId="3" xfId="0" applyFont="1" applyFill="1" applyBorder="1" applyAlignment="1">
      <alignment wrapText="1"/>
    </xf>
    <xf numFmtId="0" fontId="10" fillId="10" borderId="4" xfId="0" applyFont="1" applyFill="1" applyBorder="1" applyAlignment="1">
      <alignment wrapText="1"/>
    </xf>
    <xf numFmtId="0" fontId="10" fillId="10" borderId="5" xfId="0" applyFont="1" applyFill="1" applyBorder="1"/>
    <xf numFmtId="0" fontId="10" fillId="10" borderId="1" xfId="0" applyFont="1" applyFill="1" applyBorder="1" applyAlignment="1">
      <alignment wrapText="1"/>
    </xf>
    <xf numFmtId="0" fontId="10" fillId="10" borderId="1" xfId="0" applyFont="1" applyFill="1" applyBorder="1"/>
    <xf numFmtId="0" fontId="19" fillId="10" borderId="0" xfId="0" applyFont="1" applyFill="1" applyAlignment="1">
      <alignment horizontal="center" vertical="center"/>
    </xf>
    <xf numFmtId="49" fontId="12" fillId="0" borderId="13" xfId="0" applyNumberFormat="1" applyFont="1" applyFill="1" applyBorder="1" applyAlignment="1">
      <alignment horizontal="right"/>
    </xf>
    <xf numFmtId="49" fontId="12" fillId="0" borderId="0" xfId="0" applyNumberFormat="1" applyFont="1" applyFill="1" applyBorder="1" applyAlignment="1">
      <alignment horizontal="right"/>
    </xf>
    <xf numFmtId="49" fontId="12" fillId="0" borderId="16" xfId="0" applyNumberFormat="1" applyFont="1" applyFill="1" applyBorder="1" applyAlignment="1">
      <alignment horizontal="right" wrapText="1"/>
    </xf>
    <xf numFmtId="49" fontId="12" fillId="0" borderId="8" xfId="0" applyNumberFormat="1" applyFont="1" applyFill="1" applyBorder="1" applyAlignment="1">
      <alignment horizontal="right" wrapText="1"/>
    </xf>
    <xf numFmtId="0" fontId="0" fillId="0" borderId="16" xfId="0" applyBorder="1"/>
    <xf numFmtId="0" fontId="0" fillId="0" borderId="8" xfId="0" applyBorder="1"/>
    <xf numFmtId="0" fontId="0" fillId="0" borderId="3" xfId="0" applyFont="1" applyFill="1" applyBorder="1" applyAlignment="1">
      <alignment horizontal="right"/>
    </xf>
    <xf numFmtId="0" fontId="0" fillId="0" borderId="4" xfId="0" applyFont="1" applyFill="1" applyBorder="1" applyAlignment="1">
      <alignment horizontal="right"/>
    </xf>
    <xf numFmtId="0" fontId="12" fillId="0" borderId="13" xfId="3" applyFont="1" applyFill="1" applyBorder="1" applyAlignment="1">
      <alignment horizontal="right"/>
    </xf>
    <xf numFmtId="0" fontId="12" fillId="0" borderId="0" xfId="3" applyFont="1" applyFill="1" applyBorder="1" applyAlignment="1">
      <alignment horizontal="right"/>
    </xf>
    <xf numFmtId="0" fontId="12" fillId="0" borderId="3" xfId="0" applyFont="1" applyFill="1" applyBorder="1" applyAlignment="1">
      <alignment horizontal="center"/>
    </xf>
    <xf numFmtId="0" fontId="12" fillId="0" borderId="5" xfId="0" applyFont="1" applyFill="1" applyBorder="1" applyAlignment="1">
      <alignment horizontal="center"/>
    </xf>
    <xf numFmtId="0" fontId="12" fillId="0" borderId="4" xfId="0" applyFont="1" applyFill="1" applyBorder="1" applyAlignment="1">
      <alignment horizontal="center"/>
    </xf>
    <xf numFmtId="0" fontId="13" fillId="8" borderId="3" xfId="0" applyFont="1" applyFill="1" applyBorder="1" applyAlignment="1">
      <alignment horizontal="center"/>
    </xf>
    <xf numFmtId="0" fontId="13" fillId="8" borderId="4" xfId="0" applyFont="1" applyFill="1" applyBorder="1" applyAlignment="1">
      <alignment horizontal="center"/>
    </xf>
    <xf numFmtId="0" fontId="13" fillId="8" borderId="5" xfId="0" applyFont="1" applyFill="1" applyBorder="1" applyAlignment="1">
      <alignment horizontal="center"/>
    </xf>
    <xf numFmtId="0" fontId="13" fillId="11" borderId="1" xfId="0" applyFont="1" applyFill="1" applyBorder="1" applyAlignment="1">
      <alignment horizontal="center"/>
    </xf>
    <xf numFmtId="0" fontId="13" fillId="2" borderId="1" xfId="0" applyFont="1" applyFill="1" applyBorder="1" applyAlignment="1">
      <alignment horizontal="center"/>
    </xf>
    <xf numFmtId="0" fontId="13" fillId="3" borderId="1" xfId="0" applyFont="1" applyFill="1" applyBorder="1" applyAlignment="1">
      <alignment horizontal="center"/>
    </xf>
    <xf numFmtId="0" fontId="13" fillId="7" borderId="3" xfId="0" applyFont="1" applyFill="1" applyBorder="1" applyAlignment="1">
      <alignment horizontal="center"/>
    </xf>
    <xf numFmtId="0" fontId="13" fillId="7" borderId="4" xfId="0" applyFont="1" applyFill="1" applyBorder="1" applyAlignment="1">
      <alignment horizontal="center"/>
    </xf>
    <xf numFmtId="0" fontId="13" fillId="7" borderId="5" xfId="0" applyFont="1" applyFill="1" applyBorder="1" applyAlignment="1">
      <alignment horizontal="center"/>
    </xf>
    <xf numFmtId="0" fontId="1" fillId="12" borderId="13" xfId="0" applyFont="1" applyFill="1" applyBorder="1" applyAlignment="1">
      <alignment horizontal="right"/>
    </xf>
    <xf numFmtId="0" fontId="1" fillId="12" borderId="0" xfId="0" applyFont="1" applyFill="1" applyBorder="1" applyAlignment="1">
      <alignment horizontal="right"/>
    </xf>
    <xf numFmtId="0" fontId="2" fillId="12" borderId="3" xfId="0" applyFont="1" applyFill="1" applyBorder="1" applyAlignment="1">
      <alignment horizontal="right"/>
    </xf>
    <xf numFmtId="0" fontId="2" fillId="12" borderId="4" xfId="0" applyFont="1" applyFill="1" applyBorder="1" applyAlignment="1">
      <alignment horizontal="right"/>
    </xf>
    <xf numFmtId="0" fontId="2" fillId="12" borderId="5" xfId="0" applyFont="1" applyFill="1" applyBorder="1" applyAlignment="1">
      <alignment horizontal="right"/>
    </xf>
    <xf numFmtId="3" fontId="22" fillId="0" borderId="0" xfId="0" applyNumberFormat="1" applyFont="1" applyAlignment="1">
      <alignment horizontal="left" vertical="top" wrapText="1"/>
    </xf>
    <xf numFmtId="0" fontId="4" fillId="10" borderId="0" xfId="0" applyFont="1" applyFill="1" applyAlignment="1">
      <alignment horizontal="center"/>
    </xf>
    <xf numFmtId="0" fontId="24" fillId="10" borderId="0" xfId="0" applyFont="1" applyFill="1" applyAlignment="1">
      <alignment horizontal="center"/>
    </xf>
  </cellXfs>
  <cellStyles count="781">
    <cellStyle name="Comma" xfId="1" builtinId="3"/>
    <cellStyle name="Currency" xfId="2" builtin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Neutral" xfId="3" builtinId="28"/>
    <cellStyle name="Normal" xfId="0" builtinId="0"/>
    <cellStyle name="Normal 2" xfId="4"/>
    <cellStyle name="Normal 3" xfId="5"/>
    <cellStyle name="Percent" xfId="7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by Sector</a:t>
            </a:r>
          </a:p>
        </c:rich>
      </c:tx>
      <c:layout>
        <c:manualLayout>
          <c:xMode val="edge"/>
          <c:yMode val="edge"/>
          <c:x val="0.30699252701149904"/>
          <c:y val="4.7826086956521699E-2"/>
        </c:manualLayout>
      </c:layout>
    </c:title>
    <c:plotArea>
      <c:layout/>
      <c:barChart>
        <c:barDir val="bar"/>
        <c:grouping val="clustered"/>
        <c:ser>
          <c:idx val="0"/>
          <c:order val="0"/>
          <c:tx>
            <c:strRef>
              <c:f>'Tables and Charts'!$C$19</c:f>
              <c:strCache>
                <c:ptCount val="1"/>
                <c:pt idx="0">
                  <c:v>GHG Emissions (MTCDE/yr)</c:v>
                </c:pt>
              </c:strCache>
            </c:strRef>
          </c:tx>
          <c:dPt>
            <c:idx val="0"/>
            <c:spPr>
              <a:solidFill>
                <a:schemeClr val="accent2"/>
              </a:solidFill>
            </c:spPr>
          </c:dPt>
          <c:dPt>
            <c:idx val="1"/>
            <c:spPr>
              <a:solidFill>
                <a:schemeClr val="accent1"/>
              </a:solidFill>
            </c:spPr>
          </c:dPt>
          <c:dPt>
            <c:idx val="2"/>
            <c:spPr>
              <a:solidFill>
                <a:schemeClr val="accent3"/>
              </a:solidFill>
            </c:spPr>
          </c:dPt>
          <c:dPt>
            <c:idx val="3"/>
            <c:spPr>
              <a:solidFill>
                <a:schemeClr val="accent4"/>
              </a:solidFill>
            </c:spPr>
          </c:dPt>
          <c:dPt>
            <c:idx val="4"/>
            <c:spPr>
              <a:solidFill>
                <a:schemeClr val="accent5"/>
              </a:solidFill>
            </c:spPr>
          </c:dPt>
          <c:cat>
            <c:strRef>
              <c:f>'Tables and Charts'!$B$20:$B$24</c:f>
              <c:strCache>
                <c:ptCount val="5"/>
                <c:pt idx="0">
                  <c:v>Bldgs and Other Facilities</c:v>
                </c:pt>
                <c:pt idx="1">
                  <c:v>Vehicle Fleet</c:v>
                </c:pt>
                <c:pt idx="2">
                  <c:v>Streetlights and Traffic Signals</c:v>
                </c:pt>
                <c:pt idx="3">
                  <c:v>Wastewater Treatment</c:v>
                </c:pt>
                <c:pt idx="4">
                  <c:v>Water Delivery</c:v>
                </c:pt>
              </c:strCache>
            </c:strRef>
          </c:cat>
          <c:val>
            <c:numRef>
              <c:f>'Tables and Charts'!$C$20:$C$24</c:f>
              <c:numCache>
                <c:formatCode>#,##0</c:formatCode>
                <c:ptCount val="5"/>
                <c:pt idx="0">
                  <c:v>868.96079844903034</c:v>
                </c:pt>
                <c:pt idx="1">
                  <c:v>588.07279760000006</c:v>
                </c:pt>
                <c:pt idx="2">
                  <c:v>298.92907948767612</c:v>
                </c:pt>
                <c:pt idx="3">
                  <c:v>258.82228701892672</c:v>
                </c:pt>
                <c:pt idx="4">
                  <c:v>212.92486152544993</c:v>
                </c:pt>
              </c:numCache>
            </c:numRef>
          </c:val>
        </c:ser>
        <c:dLbls/>
        <c:axId val="78339456"/>
        <c:axId val="78341248"/>
      </c:barChart>
      <c:catAx>
        <c:axId val="78339456"/>
        <c:scaling>
          <c:orientation val="maxMin"/>
        </c:scaling>
        <c:axPos val="l"/>
        <c:tickLblPos val="nextTo"/>
        <c:crossAx val="78341248"/>
        <c:crosses val="autoZero"/>
        <c:auto val="1"/>
        <c:lblAlgn val="ctr"/>
        <c:lblOffset val="100"/>
      </c:catAx>
      <c:valAx>
        <c:axId val="78341248"/>
        <c:scaling>
          <c:orientation val="minMax"/>
        </c:scaling>
        <c:axPos val="b"/>
        <c:majorGridlines/>
        <c:title>
          <c:tx>
            <c:rich>
              <a:bodyPr/>
              <a:lstStyle/>
              <a:p>
                <a:pPr>
                  <a:defRPr/>
                </a:pPr>
                <a:r>
                  <a:rPr lang="en-US" baseline="0"/>
                  <a:t>Metric Tons of Carbon Dioxide Equivalent (MTCDE/yr)</a:t>
                </a:r>
                <a:endParaRPr lang="en-US"/>
              </a:p>
            </c:rich>
          </c:tx>
          <c:layout/>
        </c:title>
        <c:numFmt formatCode="0" sourceLinked="0"/>
        <c:tickLblPos val="nextTo"/>
        <c:crossAx val="78339456"/>
        <c:crosses val="max"/>
        <c:crossBetween val="between"/>
        <c:majorUnit val="200"/>
      </c:valAx>
    </c:plotArea>
    <c:plotVisOnly val="1"/>
    <c:dispBlanksAs val="gap"/>
  </c:chart>
  <c:printSettings>
    <c:headerFooter/>
    <c:pageMargins b="1" l="0.75000000000000011" r="0.750000000000000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a:t>
            </a:r>
            <a:r>
              <a:rPr lang="en-US" baseline="0"/>
              <a:t> by Fuel Type</a:t>
            </a:r>
            <a:endParaRPr lang="en-US"/>
          </a:p>
        </c:rich>
      </c:tx>
    </c:title>
    <c:plotArea>
      <c:layout/>
      <c:pieChart>
        <c:varyColors val="1"/>
        <c:ser>
          <c:idx val="0"/>
          <c:order val="0"/>
          <c:tx>
            <c:strRef>
              <c:f>'Tables and Charts'!$C$193</c:f>
              <c:strCache>
                <c:ptCount val="1"/>
                <c:pt idx="0">
                  <c:v>GHG Emissions (MTCDE/yr)</c:v>
                </c:pt>
              </c:strCache>
            </c:strRef>
          </c:tx>
          <c:dPt>
            <c:idx val="0"/>
            <c:spPr>
              <a:solidFill>
                <a:schemeClr val="accent6">
                  <a:lumMod val="75000"/>
                </a:schemeClr>
              </a:solidFill>
            </c:spPr>
          </c:dPt>
          <c:dPt>
            <c:idx val="1"/>
            <c:spPr>
              <a:solidFill>
                <a:schemeClr val="tx2"/>
              </a:solidFill>
            </c:spPr>
          </c:dPt>
          <c:dPt>
            <c:idx val="2"/>
            <c:spPr>
              <a:solidFill>
                <a:schemeClr val="bg2">
                  <a:lumMod val="25000"/>
                </a:schemeClr>
              </a:solidFill>
            </c:spPr>
          </c:dPt>
          <c:dPt>
            <c:idx val="3"/>
            <c:spPr>
              <a:solidFill>
                <a:schemeClr val="bg2">
                  <a:lumMod val="25000"/>
                </a:schemeClr>
              </a:solidFill>
            </c:spPr>
          </c:dPt>
          <c:dLbls>
            <c:dLblPos val="bestFit"/>
            <c:showCatName val="1"/>
            <c:showPercent val="1"/>
            <c:showLeaderLines val="1"/>
          </c:dLbls>
          <c:cat>
            <c:strRef>
              <c:f>'Tables and Charts'!$B$194:$B$197</c:f>
              <c:strCache>
                <c:ptCount val="4"/>
                <c:pt idx="0">
                  <c:v>Electricity</c:v>
                </c:pt>
                <c:pt idx="1">
                  <c:v>Natural Gas</c:v>
                </c:pt>
                <c:pt idx="2">
                  <c:v>Gasoline &amp; Diesel</c:v>
                </c:pt>
                <c:pt idx="3">
                  <c:v>Propane</c:v>
                </c:pt>
              </c:strCache>
            </c:strRef>
          </c:cat>
          <c:val>
            <c:numRef>
              <c:f>'Tables and Charts'!$C$194:$C$197</c:f>
              <c:numCache>
                <c:formatCode>_(* #,##0_);_(* \(#,##0\);_(* "-"??_);_(@_)</c:formatCode>
                <c:ptCount val="4"/>
                <c:pt idx="0">
                  <c:v>990.55943943678301</c:v>
                </c:pt>
                <c:pt idx="1">
                  <c:v>648.93907920000004</c:v>
                </c:pt>
                <c:pt idx="2">
                  <c:v>595.12967117120002</c:v>
                </c:pt>
                <c:pt idx="3" formatCode="_(* #,##0.0_);_(* \(#,##0.0\);_(* &quot;-&quot;??_);_(@_)">
                  <c:v>0.13850784429999999</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 by Fuel Type</a:t>
            </a:r>
          </a:p>
        </c:rich>
      </c:tx>
    </c:title>
    <c:plotArea>
      <c:layout/>
      <c:pieChart>
        <c:varyColors val="1"/>
        <c:ser>
          <c:idx val="0"/>
          <c:order val="0"/>
          <c:tx>
            <c:strRef>
              <c:f>'Tables and Charts'!$C$204</c:f>
              <c:strCache>
                <c:ptCount val="1"/>
                <c:pt idx="0">
                  <c:v>Energy Cost (USD/yr)</c:v>
                </c:pt>
              </c:strCache>
            </c:strRef>
          </c:tx>
          <c:dPt>
            <c:idx val="0"/>
            <c:spPr>
              <a:solidFill>
                <a:schemeClr val="accent6">
                  <a:lumMod val="75000"/>
                </a:schemeClr>
              </a:solidFill>
            </c:spPr>
          </c:dPt>
          <c:dPt>
            <c:idx val="1"/>
            <c:spPr>
              <a:solidFill>
                <a:schemeClr val="bg2">
                  <a:lumMod val="25000"/>
                </a:schemeClr>
              </a:solidFill>
            </c:spPr>
          </c:dPt>
          <c:dPt>
            <c:idx val="2"/>
            <c:spPr>
              <a:solidFill>
                <a:schemeClr val="tx2"/>
              </a:solidFill>
            </c:spPr>
          </c:dPt>
          <c:dPt>
            <c:idx val="3"/>
            <c:spPr>
              <a:solidFill>
                <a:schemeClr val="bg1">
                  <a:lumMod val="50000"/>
                </a:schemeClr>
              </a:solidFill>
            </c:spPr>
          </c:dPt>
          <c:dLbls>
            <c:dLblPos val="bestFit"/>
            <c:showCatName val="1"/>
            <c:showPercent val="1"/>
            <c:showLeaderLines val="1"/>
          </c:dLbls>
          <c:cat>
            <c:strRef>
              <c:f>'Tables and Charts'!$B$205:$B$208</c:f>
              <c:strCache>
                <c:ptCount val="4"/>
                <c:pt idx="0">
                  <c:v>Electricity</c:v>
                </c:pt>
                <c:pt idx="1">
                  <c:v>Gasoline &amp; Diesel</c:v>
                </c:pt>
                <c:pt idx="2">
                  <c:v>Natural Gas</c:v>
                </c:pt>
                <c:pt idx="3">
                  <c:v>Propane</c:v>
                </c:pt>
              </c:strCache>
            </c:strRef>
          </c:cat>
          <c:val>
            <c:numRef>
              <c:f>'Tables and Charts'!$C$205:$C$208</c:f>
              <c:numCache>
                <c:formatCode>_("$"* #,##0_);_("$"* \(#,##0\);_("$"* "-"??_);_(@_)</c:formatCode>
                <c:ptCount val="4"/>
                <c:pt idx="0">
                  <c:v>646173.28</c:v>
                </c:pt>
                <c:pt idx="1">
                  <c:v>202686.58000000002</c:v>
                </c:pt>
                <c:pt idx="2">
                  <c:v>89023.09</c:v>
                </c:pt>
                <c:pt idx="3" formatCode="&quot;$&quot;#,##0">
                  <c:v>42.42</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Costs</a:t>
            </a:r>
            <a:r>
              <a:rPr lang="en-US" baseline="0"/>
              <a:t> by Facility</a:t>
            </a:r>
            <a:endParaRPr lang="en-US"/>
          </a:p>
        </c:rich>
      </c:tx>
    </c:title>
    <c:plotArea>
      <c:layout>
        <c:manualLayout>
          <c:layoutTarget val="inner"/>
          <c:xMode val="edge"/>
          <c:yMode val="edge"/>
          <c:x val="0.24647157507373399"/>
          <c:y val="0.19370229007633605"/>
          <c:w val="0.69204712812960201"/>
          <c:h val="0.55178142092925397"/>
        </c:manualLayout>
      </c:layout>
      <c:barChart>
        <c:barDir val="bar"/>
        <c:grouping val="clustered"/>
        <c:ser>
          <c:idx val="2"/>
          <c:order val="0"/>
          <c:tx>
            <c:strRef>
              <c:f>'Tables and Charts'!$F$163</c:f>
              <c:strCache>
                <c:ptCount val="1"/>
                <c:pt idx="0">
                  <c:v>Total Energy Cost (USD/yr)</c:v>
                </c:pt>
              </c:strCache>
            </c:strRef>
          </c:tx>
          <c:spPr>
            <a:solidFill>
              <a:srgbClr val="008000"/>
            </a:solidFill>
          </c:spPr>
          <c:cat>
            <c:strRef>
              <c:f>'Tables and Charts'!$B$164:$B$173</c:f>
              <c:strCache>
                <c:ptCount val="10"/>
                <c:pt idx="0">
                  <c:v>Wastewater Pump Stations</c:v>
                </c:pt>
                <c:pt idx="1">
                  <c:v>Water Filtration Plant</c:v>
                </c:pt>
                <c:pt idx="2">
                  <c:v>City Hall</c:v>
                </c:pt>
                <c:pt idx="3">
                  <c:v>DPW Facility</c:v>
                </c:pt>
                <c:pt idx="4">
                  <c:v>Music Hall</c:v>
                </c:pt>
                <c:pt idx="5">
                  <c:v>Firehouses</c:v>
                </c:pt>
                <c:pt idx="6">
                  <c:v>Senior Center</c:v>
                </c:pt>
                <c:pt idx="7">
                  <c:v>Public Library</c:v>
                </c:pt>
                <c:pt idx="8">
                  <c:v>Parks/Rec Facilities</c:v>
                </c:pt>
                <c:pt idx="9">
                  <c:v>Water Supply Pump House</c:v>
                </c:pt>
              </c:strCache>
            </c:strRef>
          </c:cat>
          <c:val>
            <c:numRef>
              <c:f>'Tables and Charts'!$F$164:$F$173</c:f>
              <c:numCache>
                <c:formatCode>_("$"* #,##0_);_("$"* \(#,##0\);_("$"* "-"??_);_(@_)</c:formatCode>
                <c:ptCount val="10"/>
                <c:pt idx="0">
                  <c:v>88134.2</c:v>
                </c:pt>
                <c:pt idx="1">
                  <c:v>56729.46</c:v>
                </c:pt>
                <c:pt idx="2">
                  <c:v>42124.480000000003</c:v>
                </c:pt>
                <c:pt idx="3">
                  <c:v>38623.199999999997</c:v>
                </c:pt>
                <c:pt idx="4">
                  <c:v>34608.870000000003</c:v>
                </c:pt>
                <c:pt idx="5">
                  <c:v>26930.1</c:v>
                </c:pt>
                <c:pt idx="6">
                  <c:v>24424.31</c:v>
                </c:pt>
                <c:pt idx="7">
                  <c:v>20627.129999999997</c:v>
                </c:pt>
                <c:pt idx="8">
                  <c:v>9925.9399999999987</c:v>
                </c:pt>
                <c:pt idx="9">
                  <c:v>2930.75</c:v>
                </c:pt>
              </c:numCache>
            </c:numRef>
          </c:val>
        </c:ser>
        <c:dLbls/>
        <c:axId val="79377920"/>
        <c:axId val="79379456"/>
      </c:barChart>
      <c:catAx>
        <c:axId val="79377920"/>
        <c:scaling>
          <c:orientation val="maxMin"/>
        </c:scaling>
        <c:axPos val="l"/>
        <c:tickLblPos val="nextTo"/>
        <c:crossAx val="79379456"/>
        <c:crosses val="autoZero"/>
        <c:auto val="1"/>
        <c:lblAlgn val="ctr"/>
        <c:lblOffset val="100"/>
      </c:catAx>
      <c:valAx>
        <c:axId val="79379456"/>
        <c:scaling>
          <c:orientation val="minMax"/>
        </c:scaling>
        <c:axPos val="b"/>
        <c:majorGridlines/>
        <c:title>
          <c:tx>
            <c:rich>
              <a:bodyPr/>
              <a:lstStyle/>
              <a:p>
                <a:pPr>
                  <a:defRPr/>
                </a:pPr>
                <a:r>
                  <a:rPr lang="en-US"/>
                  <a:t>Cost of Energy (USD/yr)</a:t>
                </a:r>
              </a:p>
            </c:rich>
          </c:tx>
        </c:title>
        <c:numFmt formatCode="_(&quot;$&quot;* #,##0_);_(&quot;$&quot;* \(#,##0\);_(&quot;$&quot;* &quot;-&quot;??_);_(@_)" sourceLinked="1"/>
        <c:tickLblPos val="nextTo"/>
        <c:crossAx val="79377920"/>
        <c:crosses val="max"/>
        <c:crossBetween val="between"/>
        <c:majorUnit val="20000"/>
      </c:valAx>
    </c:plotArea>
    <c:plotVisOnly val="1"/>
    <c:dispBlanksAs val="gap"/>
  </c:chart>
  <c:printSettings>
    <c:headerFooter/>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 by</a:t>
            </a:r>
            <a:r>
              <a:rPr lang="en-US" baseline="0"/>
              <a:t> Fuel Type</a:t>
            </a:r>
            <a:endParaRPr lang="en-US"/>
          </a:p>
        </c:rich>
      </c:tx>
    </c:title>
    <c:plotArea>
      <c:layout/>
      <c:barChart>
        <c:barDir val="bar"/>
        <c:grouping val="clustered"/>
        <c:ser>
          <c:idx val="0"/>
          <c:order val="0"/>
          <c:tx>
            <c:strRef>
              <c:f>'Tables and Charts'!$C$204</c:f>
              <c:strCache>
                <c:ptCount val="1"/>
                <c:pt idx="0">
                  <c:v>Energy Cost (USD/yr)</c:v>
                </c:pt>
              </c:strCache>
            </c:strRef>
          </c:tx>
          <c:dPt>
            <c:idx val="0"/>
            <c:spPr>
              <a:solidFill>
                <a:schemeClr val="accent6">
                  <a:lumMod val="75000"/>
                </a:schemeClr>
              </a:solidFill>
            </c:spPr>
          </c:dPt>
          <c:dPt>
            <c:idx val="1"/>
            <c:spPr>
              <a:solidFill>
                <a:schemeClr val="bg2">
                  <a:lumMod val="25000"/>
                </a:schemeClr>
              </a:solidFill>
            </c:spPr>
          </c:dPt>
          <c:dPt>
            <c:idx val="2"/>
            <c:spPr>
              <a:solidFill>
                <a:schemeClr val="tx2"/>
              </a:solidFill>
            </c:spPr>
          </c:dPt>
          <c:dPt>
            <c:idx val="3"/>
            <c:spPr>
              <a:solidFill>
                <a:schemeClr val="accent2">
                  <a:lumMod val="50000"/>
                </a:schemeClr>
              </a:solidFill>
            </c:spPr>
          </c:dPt>
          <c:cat>
            <c:strRef>
              <c:f>'Tables and Charts'!$B$205:$B$208</c:f>
              <c:strCache>
                <c:ptCount val="4"/>
                <c:pt idx="0">
                  <c:v>Electricity</c:v>
                </c:pt>
                <c:pt idx="1">
                  <c:v>Gasoline &amp; Diesel</c:v>
                </c:pt>
                <c:pt idx="2">
                  <c:v>Natural Gas</c:v>
                </c:pt>
                <c:pt idx="3">
                  <c:v>Propane</c:v>
                </c:pt>
              </c:strCache>
            </c:strRef>
          </c:cat>
          <c:val>
            <c:numRef>
              <c:f>'Tables and Charts'!$C$205:$C$208</c:f>
              <c:numCache>
                <c:formatCode>_("$"* #,##0_);_("$"* \(#,##0\);_("$"* "-"??_);_(@_)</c:formatCode>
                <c:ptCount val="4"/>
                <c:pt idx="0">
                  <c:v>646173.28</c:v>
                </c:pt>
                <c:pt idx="1">
                  <c:v>202686.58000000002</c:v>
                </c:pt>
                <c:pt idx="2">
                  <c:v>89023.09</c:v>
                </c:pt>
                <c:pt idx="3" formatCode="&quot;$&quot;#,##0">
                  <c:v>42.42</c:v>
                </c:pt>
              </c:numCache>
            </c:numRef>
          </c:val>
        </c:ser>
        <c:dLbls/>
        <c:axId val="79508224"/>
        <c:axId val="79509760"/>
      </c:barChart>
      <c:catAx>
        <c:axId val="79508224"/>
        <c:scaling>
          <c:orientation val="maxMin"/>
        </c:scaling>
        <c:axPos val="l"/>
        <c:tickLblPos val="nextTo"/>
        <c:crossAx val="79509760"/>
        <c:crosses val="autoZero"/>
        <c:auto val="1"/>
        <c:lblAlgn val="ctr"/>
        <c:lblOffset val="100"/>
      </c:catAx>
      <c:valAx>
        <c:axId val="79509760"/>
        <c:scaling>
          <c:orientation val="minMax"/>
          <c:max val="650000"/>
          <c:min val="0"/>
        </c:scaling>
        <c:axPos val="b"/>
        <c:majorGridlines/>
        <c:title>
          <c:tx>
            <c:rich>
              <a:bodyPr/>
              <a:lstStyle/>
              <a:p>
                <a:pPr>
                  <a:defRPr/>
                </a:pPr>
                <a:r>
                  <a:rPr lang="en-US"/>
                  <a:t>Cost</a:t>
                </a:r>
                <a:r>
                  <a:rPr lang="en-US" baseline="0"/>
                  <a:t> of Energy (USD/yr)</a:t>
                </a:r>
                <a:endParaRPr lang="en-US"/>
              </a:p>
            </c:rich>
          </c:tx>
        </c:title>
        <c:numFmt formatCode="_(&quot;$&quot;* #,##0_);_(&quot;$&quot;* \(#,##0\);_(&quot;$&quot;* &quot;-&quot;??_);_(@_)" sourceLinked="1"/>
        <c:tickLblPos val="nextTo"/>
        <c:crossAx val="79508224"/>
        <c:crosses val="max"/>
        <c:crossBetween val="between"/>
        <c:majorUnit val="200000"/>
      </c:valAx>
    </c:plotArea>
    <c:plotVisOnly val="1"/>
    <c:dispBlanksAs val="gap"/>
  </c:chart>
  <c:printSettings>
    <c:headerFooter/>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by Fuel Type</a:t>
            </a:r>
          </a:p>
        </c:rich>
      </c:tx>
    </c:title>
    <c:plotArea>
      <c:layout/>
      <c:barChart>
        <c:barDir val="bar"/>
        <c:grouping val="clustered"/>
        <c:ser>
          <c:idx val="0"/>
          <c:order val="0"/>
          <c:dPt>
            <c:idx val="0"/>
            <c:spPr>
              <a:solidFill>
                <a:schemeClr val="accent6">
                  <a:lumMod val="75000"/>
                </a:schemeClr>
              </a:solidFill>
            </c:spPr>
          </c:dPt>
          <c:dPt>
            <c:idx val="1"/>
            <c:spPr>
              <a:solidFill>
                <a:schemeClr val="tx2"/>
              </a:solidFill>
            </c:spPr>
          </c:dPt>
          <c:dPt>
            <c:idx val="2"/>
            <c:spPr>
              <a:solidFill>
                <a:schemeClr val="bg2">
                  <a:lumMod val="25000"/>
                </a:schemeClr>
              </a:solidFill>
            </c:spPr>
          </c:dPt>
          <c:dPt>
            <c:idx val="3"/>
            <c:spPr>
              <a:solidFill>
                <a:schemeClr val="accent2">
                  <a:lumMod val="50000"/>
                </a:schemeClr>
              </a:solidFill>
            </c:spPr>
          </c:dPt>
          <c:cat>
            <c:strRef>
              <c:f>'Tables and Charts'!$B$194:$B$197</c:f>
              <c:strCache>
                <c:ptCount val="4"/>
                <c:pt idx="0">
                  <c:v>Electricity</c:v>
                </c:pt>
                <c:pt idx="1">
                  <c:v>Natural Gas</c:v>
                </c:pt>
                <c:pt idx="2">
                  <c:v>Gasoline &amp; Diesel</c:v>
                </c:pt>
                <c:pt idx="3">
                  <c:v>Propane</c:v>
                </c:pt>
              </c:strCache>
            </c:strRef>
          </c:cat>
          <c:val>
            <c:numRef>
              <c:f>'Tables and Charts'!$C$194:$C$197</c:f>
              <c:numCache>
                <c:formatCode>_(* #,##0_);_(* \(#,##0\);_(* "-"??_);_(@_)</c:formatCode>
                <c:ptCount val="4"/>
                <c:pt idx="0">
                  <c:v>990.55943943678301</c:v>
                </c:pt>
                <c:pt idx="1">
                  <c:v>648.93907920000004</c:v>
                </c:pt>
                <c:pt idx="2">
                  <c:v>595.12967117120002</c:v>
                </c:pt>
                <c:pt idx="3" formatCode="_(* #,##0.0_);_(* \(#,##0.0\);_(* &quot;-&quot;??_);_(@_)">
                  <c:v>0.13850784429999999</c:v>
                </c:pt>
              </c:numCache>
            </c:numRef>
          </c:val>
        </c:ser>
        <c:dLbls/>
        <c:axId val="79556608"/>
        <c:axId val="79558144"/>
      </c:barChart>
      <c:catAx>
        <c:axId val="79556608"/>
        <c:scaling>
          <c:orientation val="maxMin"/>
        </c:scaling>
        <c:axPos val="l"/>
        <c:tickLblPos val="nextTo"/>
        <c:crossAx val="79558144"/>
        <c:crosses val="autoZero"/>
        <c:auto val="1"/>
        <c:lblAlgn val="ctr"/>
        <c:lblOffset val="100"/>
      </c:catAx>
      <c:valAx>
        <c:axId val="79558144"/>
        <c:scaling>
          <c:orientation val="minMax"/>
        </c:scaling>
        <c:axPos val="b"/>
        <c:majorGridlines/>
        <c:title>
          <c:tx>
            <c:rich>
              <a:bodyPr/>
              <a:lstStyle/>
              <a:p>
                <a:pPr>
                  <a:defRPr/>
                </a:pPr>
                <a:r>
                  <a:rPr lang="en-US"/>
                  <a:t>Metric Tons of Carbon Dioxide Equivalent (MTCDE/yr)</a:t>
                </a:r>
              </a:p>
            </c:rich>
          </c:tx>
        </c:title>
        <c:numFmt formatCode="_(* #,##0_);_(* \(#,##0\);_(* &quot;-&quot;??_);_(@_)" sourceLinked="1"/>
        <c:tickLblPos val="nextTo"/>
        <c:crossAx val="79556608"/>
        <c:crosses val="max"/>
        <c:crossBetween val="between"/>
      </c:valAx>
    </c:plotArea>
    <c:plotVisOnly val="1"/>
    <c:dispBlanksAs val="gap"/>
  </c:chart>
  <c:printSettings>
    <c:headerFooter/>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from Buildings and Facilities</a:t>
            </a:r>
          </a:p>
        </c:rich>
      </c:tx>
      <c:layout/>
    </c:title>
    <c:plotArea>
      <c:layout/>
      <c:barChart>
        <c:barDir val="bar"/>
        <c:grouping val="clustered"/>
        <c:ser>
          <c:idx val="0"/>
          <c:order val="0"/>
          <c:tx>
            <c:strRef>
              <c:f>'Tables and Charts'!$C$52</c:f>
              <c:strCache>
                <c:ptCount val="1"/>
                <c:pt idx="0">
                  <c:v>GHG Emissions (MTCDE/yr)</c:v>
                </c:pt>
              </c:strCache>
            </c:strRef>
          </c:tx>
          <c:dPt>
            <c:idx val="0"/>
            <c:spPr>
              <a:solidFill>
                <a:schemeClr val="accent5">
                  <a:lumMod val="60000"/>
                  <a:lumOff val="40000"/>
                </a:schemeClr>
              </a:solidFill>
            </c:spPr>
          </c:dPt>
          <c:dPt>
            <c:idx val="1"/>
            <c:spPr>
              <a:solidFill>
                <a:schemeClr val="accent6">
                  <a:lumMod val="60000"/>
                  <a:lumOff val="40000"/>
                </a:schemeClr>
              </a:solidFill>
            </c:spPr>
          </c:dPt>
          <c:dPt>
            <c:idx val="2"/>
            <c:spPr>
              <a:solidFill>
                <a:schemeClr val="accent2">
                  <a:lumMod val="60000"/>
                  <a:lumOff val="40000"/>
                </a:schemeClr>
              </a:solidFill>
            </c:spPr>
          </c:dPt>
          <c:dPt>
            <c:idx val="3"/>
            <c:spPr>
              <a:solidFill>
                <a:schemeClr val="accent3">
                  <a:lumMod val="75000"/>
                </a:schemeClr>
              </a:solidFill>
            </c:spPr>
          </c:dPt>
          <c:cat>
            <c:strRef>
              <c:f>'Tables and Charts'!$B$53:$B$56</c:f>
              <c:strCache>
                <c:ptCount val="4"/>
                <c:pt idx="0">
                  <c:v>Admin</c:v>
                </c:pt>
                <c:pt idx="1">
                  <c:v>Misc</c:v>
                </c:pt>
                <c:pt idx="2">
                  <c:v>Firehouses</c:v>
                </c:pt>
                <c:pt idx="3">
                  <c:v>Recreation</c:v>
                </c:pt>
              </c:strCache>
            </c:strRef>
          </c:cat>
          <c:val>
            <c:numRef>
              <c:f>'Tables and Charts'!$C$53:$C$56</c:f>
              <c:numCache>
                <c:formatCode>#,##0</c:formatCode>
                <c:ptCount val="4"/>
                <c:pt idx="0">
                  <c:v>412.33952440065195</c:v>
                </c:pt>
                <c:pt idx="1">
                  <c:v>321.26045620900106</c:v>
                </c:pt>
                <c:pt idx="2">
                  <c:v>118.40625566035327</c:v>
                </c:pt>
                <c:pt idx="3">
                  <c:v>16.954562179024048</c:v>
                </c:pt>
              </c:numCache>
            </c:numRef>
          </c:val>
        </c:ser>
        <c:dLbls/>
        <c:axId val="79453184"/>
        <c:axId val="79463168"/>
      </c:barChart>
      <c:catAx>
        <c:axId val="79453184"/>
        <c:scaling>
          <c:orientation val="maxMin"/>
        </c:scaling>
        <c:axPos val="l"/>
        <c:tickLblPos val="nextTo"/>
        <c:crossAx val="79463168"/>
        <c:crosses val="autoZero"/>
        <c:auto val="1"/>
        <c:lblAlgn val="ctr"/>
        <c:lblOffset val="100"/>
      </c:catAx>
      <c:valAx>
        <c:axId val="79463168"/>
        <c:scaling>
          <c:orientation val="minMax"/>
        </c:scaling>
        <c:axPos val="b"/>
        <c:majorGridlines/>
        <c:title>
          <c:tx>
            <c:rich>
              <a:bodyPr/>
              <a:lstStyle/>
              <a:p>
                <a:pPr>
                  <a:defRPr/>
                </a:pPr>
                <a:r>
                  <a:rPr lang="en-US"/>
                  <a:t>Metric Tons of Carbon Dioxide Equivalent (MTCDE/yr)</a:t>
                </a:r>
              </a:p>
            </c:rich>
          </c:tx>
          <c:layout/>
        </c:title>
        <c:numFmt formatCode="#,##0" sourceLinked="1"/>
        <c:tickLblPos val="nextTo"/>
        <c:crossAx val="79453184"/>
        <c:crosses val="max"/>
        <c:crossBetween val="between"/>
        <c:majorUnit val="100"/>
      </c:valAx>
    </c:plotArea>
    <c:plotVisOnly val="1"/>
    <c:dispBlanksAs val="gap"/>
  </c:chart>
  <c:printSettings>
    <c:headerFooter/>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Costs</a:t>
            </a:r>
            <a:r>
              <a:rPr lang="en-US" baseline="0"/>
              <a:t> of Buildings and Facilities</a:t>
            </a:r>
            <a:endParaRPr lang="en-US"/>
          </a:p>
        </c:rich>
      </c:tx>
      <c:layout/>
    </c:title>
    <c:plotArea>
      <c:layout/>
      <c:barChart>
        <c:barDir val="bar"/>
        <c:grouping val="clustered"/>
        <c:ser>
          <c:idx val="0"/>
          <c:order val="0"/>
          <c:tx>
            <c:strRef>
              <c:f>'Tables and Charts'!$C$60</c:f>
              <c:strCache>
                <c:ptCount val="1"/>
                <c:pt idx="0">
                  <c:v>Energy Cost (USD/yr)</c:v>
                </c:pt>
              </c:strCache>
            </c:strRef>
          </c:tx>
          <c:dPt>
            <c:idx val="0"/>
            <c:spPr>
              <a:solidFill>
                <a:schemeClr val="accent5">
                  <a:lumMod val="60000"/>
                  <a:lumOff val="40000"/>
                </a:schemeClr>
              </a:solidFill>
            </c:spPr>
          </c:dPt>
          <c:dPt>
            <c:idx val="1"/>
            <c:spPr>
              <a:solidFill>
                <a:schemeClr val="accent6">
                  <a:lumMod val="60000"/>
                  <a:lumOff val="40000"/>
                </a:schemeClr>
              </a:solidFill>
            </c:spPr>
          </c:dPt>
          <c:dPt>
            <c:idx val="2"/>
            <c:spPr>
              <a:solidFill>
                <a:schemeClr val="accent2">
                  <a:lumMod val="60000"/>
                  <a:lumOff val="40000"/>
                </a:schemeClr>
              </a:solidFill>
            </c:spPr>
          </c:dPt>
          <c:dPt>
            <c:idx val="3"/>
            <c:spPr>
              <a:solidFill>
                <a:schemeClr val="accent3">
                  <a:lumMod val="75000"/>
                </a:schemeClr>
              </a:solidFill>
            </c:spPr>
          </c:dPt>
          <c:cat>
            <c:strRef>
              <c:f>'Tables and Charts'!$B$61:$B$64</c:f>
              <c:strCache>
                <c:ptCount val="4"/>
                <c:pt idx="0">
                  <c:v>Admin</c:v>
                </c:pt>
                <c:pt idx="1">
                  <c:v>Misc</c:v>
                </c:pt>
                <c:pt idx="2">
                  <c:v>Firehouses</c:v>
                </c:pt>
                <c:pt idx="3">
                  <c:v>Recreation</c:v>
                </c:pt>
              </c:strCache>
            </c:strRef>
          </c:cat>
          <c:val>
            <c:numRef>
              <c:f>'Tables and Charts'!$C$61:$C$64</c:f>
              <c:numCache>
                <c:formatCode>_("$"* #,##0_);_("$"* \(#,##0\);_("$"* "-"??_);_(@_)</c:formatCode>
                <c:ptCount val="4"/>
                <c:pt idx="0">
                  <c:v>80747.680000000008</c:v>
                </c:pt>
                <c:pt idx="1">
                  <c:v>79660.310000000012</c:v>
                </c:pt>
                <c:pt idx="2">
                  <c:v>26930.1</c:v>
                </c:pt>
                <c:pt idx="3">
                  <c:v>9925.9399999999987</c:v>
                </c:pt>
              </c:numCache>
            </c:numRef>
          </c:val>
        </c:ser>
        <c:dLbls/>
        <c:axId val="79493376"/>
        <c:axId val="79572992"/>
      </c:barChart>
      <c:catAx>
        <c:axId val="79493376"/>
        <c:scaling>
          <c:orientation val="maxMin"/>
        </c:scaling>
        <c:axPos val="l"/>
        <c:tickLblPos val="nextTo"/>
        <c:crossAx val="79572992"/>
        <c:crosses val="autoZero"/>
        <c:auto val="1"/>
        <c:lblAlgn val="ctr"/>
        <c:lblOffset val="100"/>
      </c:catAx>
      <c:valAx>
        <c:axId val="79572992"/>
        <c:scaling>
          <c:orientation val="minMax"/>
          <c:max val="80000"/>
        </c:scaling>
        <c:axPos val="b"/>
        <c:majorGridlines/>
        <c:title>
          <c:tx>
            <c:rich>
              <a:bodyPr/>
              <a:lstStyle/>
              <a:p>
                <a:pPr>
                  <a:defRPr/>
                </a:pPr>
                <a:r>
                  <a:rPr lang="en-US"/>
                  <a:t>Cost of Energy (USD/yr)</a:t>
                </a:r>
              </a:p>
            </c:rich>
          </c:tx>
          <c:layout/>
        </c:title>
        <c:numFmt formatCode="_(&quot;$&quot;* #,##0_);_(&quot;$&quot;* \(#,##0\);_(&quot;$&quot;* &quot;-&quot;??_);_(@_)" sourceLinked="1"/>
        <c:tickLblPos val="nextTo"/>
        <c:crossAx val="79493376"/>
        <c:crosses val="max"/>
        <c:crossBetween val="between"/>
        <c:majorUnit val="20000"/>
      </c:valAx>
    </c:plotArea>
    <c:plotVisOnly val="1"/>
    <c:dispBlanksAs val="gap"/>
  </c:chart>
  <c:printSettings>
    <c:headerFooter/>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from Vehicles by</a:t>
            </a:r>
            <a:r>
              <a:rPr lang="en-US" baseline="0"/>
              <a:t> Department</a:t>
            </a:r>
            <a:endParaRPr lang="en-US"/>
          </a:p>
        </c:rich>
      </c:tx>
    </c:title>
    <c:plotArea>
      <c:layout/>
      <c:barChart>
        <c:barDir val="bar"/>
        <c:grouping val="clustered"/>
        <c:ser>
          <c:idx val="0"/>
          <c:order val="0"/>
          <c:tx>
            <c:strRef>
              <c:f>'Tables and Charts'!$C$81</c:f>
              <c:strCache>
                <c:ptCount val="1"/>
                <c:pt idx="0">
                  <c:v>GHG Emissions from Vehicles (MTCDE/yr)</c:v>
                </c:pt>
              </c:strCache>
            </c:strRef>
          </c:tx>
          <c:dPt>
            <c:idx val="0"/>
            <c:spPr>
              <a:solidFill>
                <a:schemeClr val="tx2">
                  <a:lumMod val="75000"/>
                </a:schemeClr>
              </a:solidFill>
            </c:spPr>
          </c:dPt>
          <c:dPt>
            <c:idx val="1"/>
            <c:spPr>
              <a:solidFill>
                <a:schemeClr val="accent6">
                  <a:lumMod val="75000"/>
                </a:schemeClr>
              </a:solidFill>
            </c:spPr>
          </c:dPt>
          <c:dPt>
            <c:idx val="2"/>
            <c:spPr>
              <a:solidFill>
                <a:schemeClr val="accent2">
                  <a:lumMod val="75000"/>
                </a:schemeClr>
              </a:solidFill>
            </c:spPr>
          </c:dPt>
          <c:dPt>
            <c:idx val="3"/>
            <c:spPr>
              <a:solidFill>
                <a:schemeClr val="accent3">
                  <a:lumMod val="75000"/>
                </a:schemeClr>
              </a:solidFill>
            </c:spPr>
          </c:dPt>
          <c:cat>
            <c:strRef>
              <c:f>'Tables and Charts'!$B$82:$B$85</c:f>
              <c:strCache>
                <c:ptCount val="4"/>
                <c:pt idx="0">
                  <c:v>Public Works</c:v>
                </c:pt>
                <c:pt idx="1">
                  <c:v>Police</c:v>
                </c:pt>
                <c:pt idx="2">
                  <c:v>Fire</c:v>
                </c:pt>
                <c:pt idx="3">
                  <c:v>Code</c:v>
                </c:pt>
              </c:strCache>
            </c:strRef>
          </c:cat>
          <c:val>
            <c:numRef>
              <c:f>'Tables and Charts'!$C$82:$C$85</c:f>
              <c:numCache>
                <c:formatCode>#,##0</c:formatCode>
                <c:ptCount val="4"/>
                <c:pt idx="0">
                  <c:v>351.78632919760003</c:v>
                </c:pt>
                <c:pt idx="1">
                  <c:v>176.26510607200001</c:v>
                </c:pt>
                <c:pt idx="2">
                  <c:v>56.9160496696</c:v>
                </c:pt>
                <c:pt idx="3">
                  <c:v>10.162186232</c:v>
                </c:pt>
              </c:numCache>
            </c:numRef>
          </c:val>
        </c:ser>
        <c:dLbls/>
        <c:axId val="79607296"/>
        <c:axId val="79608832"/>
      </c:barChart>
      <c:catAx>
        <c:axId val="79607296"/>
        <c:scaling>
          <c:orientation val="maxMin"/>
        </c:scaling>
        <c:axPos val="l"/>
        <c:tickLblPos val="nextTo"/>
        <c:crossAx val="79608832"/>
        <c:crosses val="autoZero"/>
        <c:auto val="1"/>
        <c:lblAlgn val="ctr"/>
        <c:lblOffset val="100"/>
      </c:catAx>
      <c:valAx>
        <c:axId val="79608832"/>
        <c:scaling>
          <c:orientation val="minMax"/>
        </c:scaling>
        <c:axPos val="b"/>
        <c:majorGridlines/>
        <c:numFmt formatCode="#,##0" sourceLinked="1"/>
        <c:tickLblPos val="nextTo"/>
        <c:crossAx val="79607296"/>
        <c:crosses val="max"/>
        <c:crossBetween val="between"/>
      </c:valAx>
    </c:plotArea>
    <c:plotVisOnly val="1"/>
    <c:dispBlanksAs val="gap"/>
  </c:chart>
  <c:printSettings>
    <c:headerFooter/>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Vehicle</a:t>
            </a:r>
            <a:r>
              <a:rPr lang="en-US" baseline="0"/>
              <a:t> Fuel Costs by Department</a:t>
            </a:r>
            <a:endParaRPr lang="en-US"/>
          </a:p>
        </c:rich>
      </c:tx>
      <c:layout/>
    </c:title>
    <c:plotArea>
      <c:layout/>
      <c:barChart>
        <c:barDir val="bar"/>
        <c:grouping val="clustered"/>
        <c:ser>
          <c:idx val="0"/>
          <c:order val="0"/>
          <c:tx>
            <c:strRef>
              <c:f>'Tables and Charts'!$C$89</c:f>
              <c:strCache>
                <c:ptCount val="1"/>
                <c:pt idx="0">
                  <c:v>Gasoline &amp; Diesel Cost (USD/yr)</c:v>
                </c:pt>
              </c:strCache>
            </c:strRef>
          </c:tx>
          <c:dPt>
            <c:idx val="0"/>
            <c:spPr>
              <a:solidFill>
                <a:schemeClr val="tx2">
                  <a:lumMod val="75000"/>
                </a:schemeClr>
              </a:solidFill>
            </c:spPr>
          </c:dPt>
          <c:dPt>
            <c:idx val="1"/>
            <c:spPr>
              <a:solidFill>
                <a:schemeClr val="accent6">
                  <a:lumMod val="75000"/>
                </a:schemeClr>
              </a:solidFill>
            </c:spPr>
          </c:dPt>
          <c:dPt>
            <c:idx val="2"/>
            <c:spPr>
              <a:solidFill>
                <a:schemeClr val="accent2">
                  <a:lumMod val="75000"/>
                </a:schemeClr>
              </a:solidFill>
            </c:spPr>
          </c:dPt>
          <c:dPt>
            <c:idx val="3"/>
            <c:spPr>
              <a:solidFill>
                <a:schemeClr val="accent3">
                  <a:lumMod val="75000"/>
                </a:schemeClr>
              </a:solidFill>
            </c:spPr>
          </c:dPt>
          <c:cat>
            <c:strRef>
              <c:f>'Tables and Charts'!$B$90:$B$93</c:f>
              <c:strCache>
                <c:ptCount val="4"/>
                <c:pt idx="0">
                  <c:v>Public Works</c:v>
                </c:pt>
                <c:pt idx="1">
                  <c:v>Police</c:v>
                </c:pt>
                <c:pt idx="2">
                  <c:v>Fire</c:v>
                </c:pt>
                <c:pt idx="3">
                  <c:v>Code</c:v>
                </c:pt>
              </c:strCache>
            </c:strRef>
          </c:cat>
          <c:val>
            <c:numRef>
              <c:f>'Tables and Charts'!$C$90:$C$93</c:f>
              <c:numCache>
                <c:formatCode>_("$"* #,##0_);_("$"* \(#,##0\);_("$"* "-"??_);_(@_)</c:formatCode>
                <c:ptCount val="4"/>
                <c:pt idx="0">
                  <c:v>125724.27</c:v>
                </c:pt>
                <c:pt idx="1">
                  <c:v>54065</c:v>
                </c:pt>
                <c:pt idx="2">
                  <c:v>19094.46</c:v>
                </c:pt>
                <c:pt idx="3">
                  <c:v>3802.85</c:v>
                </c:pt>
              </c:numCache>
            </c:numRef>
          </c:val>
        </c:ser>
        <c:dLbls/>
        <c:axId val="80826752"/>
        <c:axId val="80828288"/>
      </c:barChart>
      <c:catAx>
        <c:axId val="80826752"/>
        <c:scaling>
          <c:orientation val="maxMin"/>
        </c:scaling>
        <c:axPos val="l"/>
        <c:tickLblPos val="nextTo"/>
        <c:crossAx val="80828288"/>
        <c:crosses val="autoZero"/>
        <c:auto val="1"/>
        <c:lblAlgn val="ctr"/>
        <c:lblOffset val="100"/>
      </c:catAx>
      <c:valAx>
        <c:axId val="80828288"/>
        <c:scaling>
          <c:orientation val="minMax"/>
          <c:min val="0"/>
        </c:scaling>
        <c:axPos val="b"/>
        <c:majorGridlines/>
        <c:numFmt formatCode="_(&quot;$&quot;* #,##0_);_(&quot;$&quot;* \(#,##0\);_(&quot;$&quot;* &quot;-&quot;??_);_(@_)" sourceLinked="1"/>
        <c:tickLblPos val="nextTo"/>
        <c:crossAx val="80826752"/>
        <c:crosses val="max"/>
        <c:crossBetween val="between"/>
        <c:majorUnit val="50000"/>
      </c:valAx>
    </c:plotArea>
    <c:plotVisOnly val="1"/>
    <c:dispBlanksAs val="gap"/>
  </c:chart>
  <c:printSettings>
    <c:headerFooter/>
    <c:pageMargins b="1" l="0.75000000000000011" r="0.75000000000000011"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Costs of</a:t>
            </a:r>
            <a:r>
              <a:rPr lang="en-US" baseline="0"/>
              <a:t> Outdoor Lighting</a:t>
            </a:r>
            <a:endParaRPr lang="en-US"/>
          </a:p>
        </c:rich>
      </c:tx>
      <c:layout/>
    </c:title>
    <c:plotArea>
      <c:layout/>
      <c:pieChart>
        <c:varyColors val="1"/>
        <c:ser>
          <c:idx val="0"/>
          <c:order val="0"/>
          <c:tx>
            <c:strRef>
              <c:f>'Tables and Charts'!$C$115</c:f>
              <c:strCache>
                <c:ptCount val="1"/>
                <c:pt idx="0">
                  <c:v>Electricity Cost (USD/yr)</c:v>
                </c:pt>
              </c:strCache>
            </c:strRef>
          </c:tx>
          <c:dPt>
            <c:idx val="0"/>
            <c:spPr>
              <a:solidFill>
                <a:srgbClr val="FFFF00"/>
              </a:solidFill>
            </c:spPr>
          </c:dPt>
          <c:dPt>
            <c:idx val="1"/>
            <c:spPr>
              <a:solidFill>
                <a:srgbClr val="FF0000"/>
              </a:solidFill>
            </c:spPr>
          </c:dPt>
          <c:dPt>
            <c:idx val="2"/>
            <c:spPr>
              <a:solidFill>
                <a:srgbClr val="008000"/>
              </a:solidFill>
            </c:spPr>
          </c:dPt>
          <c:dLbls>
            <c:dLblPos val="bestFit"/>
            <c:showCatName val="1"/>
            <c:showPercent val="1"/>
            <c:showLeaderLines val="1"/>
          </c:dLbls>
          <c:cat>
            <c:strRef>
              <c:f>'Tables and Charts'!$B$116:$B$118</c:f>
              <c:strCache>
                <c:ptCount val="3"/>
                <c:pt idx="0">
                  <c:v>Lighting Districts</c:v>
                </c:pt>
                <c:pt idx="1">
                  <c:v>Traffic Signals</c:v>
                </c:pt>
                <c:pt idx="2">
                  <c:v>Streetlights (Other)</c:v>
                </c:pt>
              </c:strCache>
            </c:strRef>
          </c:cat>
          <c:val>
            <c:numRef>
              <c:f>'Tables and Charts'!$C$116:$C$118</c:f>
              <c:numCache>
                <c:formatCode>_("$"* #,##0_);_("$"* \(#,##0\);_("$"* "-"??_);_(@_)</c:formatCode>
                <c:ptCount val="3"/>
                <c:pt idx="0">
                  <c:v>373913.51999999996</c:v>
                </c:pt>
                <c:pt idx="1">
                  <c:v>13063.180000000004</c:v>
                </c:pt>
                <c:pt idx="2">
                  <c:v>3203.6499999999996</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Costs by Sector</a:t>
            </a:r>
          </a:p>
        </c:rich>
      </c:tx>
      <c:layout/>
    </c:title>
    <c:plotArea>
      <c:layout/>
      <c:barChart>
        <c:barDir val="bar"/>
        <c:grouping val="clustered"/>
        <c:ser>
          <c:idx val="0"/>
          <c:order val="0"/>
          <c:tx>
            <c:strRef>
              <c:f>'Tables and Charts'!$C$33</c:f>
              <c:strCache>
                <c:ptCount val="1"/>
                <c:pt idx="0">
                  <c:v>Energy Costs (USD/yr)</c:v>
                </c:pt>
              </c:strCache>
            </c:strRef>
          </c:tx>
          <c:dPt>
            <c:idx val="0"/>
            <c:spPr>
              <a:solidFill>
                <a:schemeClr val="accent3"/>
              </a:solidFill>
            </c:spPr>
          </c:dPt>
          <c:dPt>
            <c:idx val="1"/>
            <c:spPr>
              <a:solidFill>
                <a:schemeClr val="accent1"/>
              </a:solidFill>
            </c:spPr>
          </c:dPt>
          <c:dPt>
            <c:idx val="2"/>
            <c:spPr>
              <a:solidFill>
                <a:schemeClr val="accent2"/>
              </a:solidFill>
            </c:spPr>
          </c:dPt>
          <c:dPt>
            <c:idx val="3"/>
            <c:spPr>
              <a:solidFill>
                <a:schemeClr val="accent4"/>
              </a:solidFill>
            </c:spPr>
          </c:dPt>
          <c:dPt>
            <c:idx val="4"/>
            <c:spPr>
              <a:solidFill>
                <a:schemeClr val="accent5"/>
              </a:solidFill>
            </c:spPr>
          </c:dPt>
          <c:cat>
            <c:strRef>
              <c:f>'Tables and Charts'!$B$34:$B$38</c:f>
              <c:strCache>
                <c:ptCount val="5"/>
                <c:pt idx="0">
                  <c:v>Streetlights and Traffic Signals</c:v>
                </c:pt>
                <c:pt idx="1">
                  <c:v>Vehicle Fleet</c:v>
                </c:pt>
                <c:pt idx="2">
                  <c:v>Bldgs and Other Facilities</c:v>
                </c:pt>
                <c:pt idx="3">
                  <c:v>Wastewater Treatment</c:v>
                </c:pt>
                <c:pt idx="4">
                  <c:v>Water Delivery</c:v>
                </c:pt>
              </c:strCache>
            </c:strRef>
          </c:cat>
          <c:val>
            <c:numRef>
              <c:f>'Tables and Charts'!$C$34:$C$38</c:f>
              <c:numCache>
                <c:formatCode>"$"#,##0</c:formatCode>
                <c:ptCount val="5"/>
                <c:pt idx="0">
                  <c:v>390180.34999999986</c:v>
                </c:pt>
                <c:pt idx="1">
                  <c:v>202686.58000000002</c:v>
                </c:pt>
                <c:pt idx="2">
                  <c:v>197264.03000000003</c:v>
                </c:pt>
                <c:pt idx="3">
                  <c:v>88134.2</c:v>
                </c:pt>
                <c:pt idx="4">
                  <c:v>59660.21</c:v>
                </c:pt>
              </c:numCache>
            </c:numRef>
          </c:val>
        </c:ser>
        <c:dLbls/>
        <c:axId val="77859840"/>
        <c:axId val="77865728"/>
      </c:barChart>
      <c:catAx>
        <c:axId val="77859840"/>
        <c:scaling>
          <c:orientation val="maxMin"/>
        </c:scaling>
        <c:axPos val="l"/>
        <c:tickLblPos val="nextTo"/>
        <c:crossAx val="77865728"/>
        <c:crosses val="autoZero"/>
        <c:auto val="1"/>
        <c:lblAlgn val="ctr"/>
        <c:lblOffset val="100"/>
      </c:catAx>
      <c:valAx>
        <c:axId val="77865728"/>
        <c:scaling>
          <c:orientation val="minMax"/>
          <c:max val="400000"/>
        </c:scaling>
        <c:axPos val="b"/>
        <c:majorGridlines/>
        <c:title>
          <c:tx>
            <c:rich>
              <a:bodyPr/>
              <a:lstStyle/>
              <a:p>
                <a:pPr>
                  <a:defRPr/>
                </a:pPr>
                <a:r>
                  <a:rPr lang="en-US"/>
                  <a:t>Cost of Energy (USD/yr)</a:t>
                </a:r>
              </a:p>
            </c:rich>
          </c:tx>
          <c:layout/>
        </c:title>
        <c:numFmt formatCode="&quot;$&quot;#,##0" sourceLinked="0"/>
        <c:tickLblPos val="nextTo"/>
        <c:crossAx val="77859840"/>
        <c:crosses val="max"/>
        <c:crossBetween val="between"/>
        <c:majorUnit val="100000"/>
      </c:valAx>
    </c:plotArea>
    <c:plotVisOnly val="1"/>
    <c:dispBlanksAs val="gap"/>
  </c:chart>
  <c:printSettings>
    <c:headerFooter/>
    <c:pageMargins b="1" l="0.75000000000000011" r="0.75000000000000011"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from</a:t>
            </a:r>
            <a:r>
              <a:rPr lang="en-US" baseline="0"/>
              <a:t> Outdoor Lighting</a:t>
            </a:r>
            <a:endParaRPr lang="en-US"/>
          </a:p>
        </c:rich>
      </c:tx>
      <c:layout/>
    </c:title>
    <c:plotArea>
      <c:layout/>
      <c:pieChart>
        <c:varyColors val="1"/>
        <c:ser>
          <c:idx val="0"/>
          <c:order val="0"/>
          <c:tx>
            <c:strRef>
              <c:f>'Tables and Charts'!$C$102</c:f>
              <c:strCache>
                <c:ptCount val="1"/>
                <c:pt idx="0">
                  <c:v>GHG Emissions (MTCDE/yr)</c:v>
                </c:pt>
              </c:strCache>
            </c:strRef>
          </c:tx>
          <c:dPt>
            <c:idx val="0"/>
            <c:spPr>
              <a:solidFill>
                <a:srgbClr val="FFFF00"/>
              </a:solidFill>
            </c:spPr>
          </c:dPt>
          <c:dPt>
            <c:idx val="1"/>
            <c:spPr>
              <a:solidFill>
                <a:srgbClr val="FF0000"/>
              </a:solidFill>
            </c:spPr>
          </c:dPt>
          <c:dPt>
            <c:idx val="2"/>
            <c:spPr>
              <a:solidFill>
                <a:srgbClr val="008000"/>
              </a:solidFill>
            </c:spPr>
          </c:dPt>
          <c:dLbls>
            <c:dLbl>
              <c:idx val="0"/>
              <c:layout>
                <c:manualLayout>
                  <c:x val="-0.36083345660188398"/>
                  <c:y val="6.143299795858851E-2"/>
                </c:manualLayout>
              </c:layout>
              <c:dLblPos val="bestFit"/>
              <c:showCatName val="1"/>
              <c:showPercent val="1"/>
            </c:dLbl>
            <c:dLblPos val="bestFit"/>
            <c:showCatName val="1"/>
            <c:showPercent val="1"/>
            <c:showLeaderLines val="1"/>
          </c:dLbls>
          <c:cat>
            <c:strRef>
              <c:f>'Tables and Charts'!$B$103:$B$105</c:f>
              <c:strCache>
                <c:ptCount val="3"/>
                <c:pt idx="0">
                  <c:v>Lighting Districts</c:v>
                </c:pt>
                <c:pt idx="1">
                  <c:v>Traffic Signals</c:v>
                </c:pt>
                <c:pt idx="2">
                  <c:v>Streetlights (Other)</c:v>
                </c:pt>
              </c:strCache>
            </c:strRef>
          </c:cat>
          <c:val>
            <c:numRef>
              <c:f>'Tables and Charts'!$C$103:$C$105</c:f>
              <c:numCache>
                <c:formatCode>#,##0</c:formatCode>
                <c:ptCount val="3"/>
                <c:pt idx="0">
                  <c:v>276.27439955253971</c:v>
                </c:pt>
                <c:pt idx="1">
                  <c:v>16.978242532082625</c:v>
                </c:pt>
                <c:pt idx="2">
                  <c:v>5.6764374030535878</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from</a:t>
            </a:r>
            <a:r>
              <a:rPr lang="en-US" baseline="0"/>
              <a:t> Outdoor Lighting</a:t>
            </a:r>
            <a:endParaRPr lang="en-US"/>
          </a:p>
        </c:rich>
      </c:tx>
      <c:layout/>
    </c:title>
    <c:plotArea>
      <c:layout/>
      <c:barChart>
        <c:barDir val="bar"/>
        <c:grouping val="clustered"/>
        <c:ser>
          <c:idx val="0"/>
          <c:order val="0"/>
          <c:tx>
            <c:strRef>
              <c:f>'Tables and Charts'!$C$102</c:f>
              <c:strCache>
                <c:ptCount val="1"/>
                <c:pt idx="0">
                  <c:v>GHG Emissions (MTCDE/yr)</c:v>
                </c:pt>
              </c:strCache>
            </c:strRef>
          </c:tx>
          <c:dPt>
            <c:idx val="0"/>
            <c:spPr>
              <a:solidFill>
                <a:srgbClr val="FFFF00"/>
              </a:solidFill>
            </c:spPr>
          </c:dPt>
          <c:dPt>
            <c:idx val="1"/>
            <c:spPr>
              <a:solidFill>
                <a:srgbClr val="FF0000"/>
              </a:solidFill>
            </c:spPr>
          </c:dPt>
          <c:dPt>
            <c:idx val="2"/>
            <c:spPr>
              <a:solidFill>
                <a:srgbClr val="008000"/>
              </a:solidFill>
            </c:spPr>
          </c:dPt>
          <c:cat>
            <c:strRef>
              <c:f>'Tables and Charts'!$B$103:$B$105</c:f>
              <c:strCache>
                <c:ptCount val="3"/>
                <c:pt idx="0">
                  <c:v>Lighting Districts</c:v>
                </c:pt>
                <c:pt idx="1">
                  <c:v>Traffic Signals</c:v>
                </c:pt>
                <c:pt idx="2">
                  <c:v>Streetlights (Other)</c:v>
                </c:pt>
              </c:strCache>
            </c:strRef>
          </c:cat>
          <c:val>
            <c:numRef>
              <c:f>'Tables and Charts'!$C$103:$C$105</c:f>
              <c:numCache>
                <c:formatCode>#,##0</c:formatCode>
                <c:ptCount val="3"/>
                <c:pt idx="0">
                  <c:v>276.27439955253971</c:v>
                </c:pt>
                <c:pt idx="1">
                  <c:v>16.978242532082625</c:v>
                </c:pt>
                <c:pt idx="2">
                  <c:v>5.6764374030535878</c:v>
                </c:pt>
              </c:numCache>
            </c:numRef>
          </c:val>
        </c:ser>
        <c:dLbls/>
        <c:gapWidth val="100"/>
        <c:axId val="80948608"/>
        <c:axId val="80946688"/>
      </c:barChart>
      <c:valAx>
        <c:axId val="80946688"/>
        <c:scaling>
          <c:orientation val="minMax"/>
        </c:scaling>
        <c:axPos val="b"/>
        <c:majorGridlines/>
        <c:title>
          <c:tx>
            <c:rich>
              <a:bodyPr/>
              <a:lstStyle/>
              <a:p>
                <a:pPr>
                  <a:defRPr/>
                </a:pPr>
                <a:r>
                  <a:rPr lang="en-US"/>
                  <a:t>Metric Tons of Carbon Dioxide Equivalent (MTCDE/yr)</a:t>
                </a:r>
              </a:p>
            </c:rich>
          </c:tx>
          <c:layout/>
        </c:title>
        <c:numFmt formatCode="#,##0" sourceLinked="1"/>
        <c:tickLblPos val="nextTo"/>
        <c:crossAx val="80948608"/>
        <c:crosses val="max"/>
        <c:crossBetween val="between"/>
        <c:majorUnit val="75"/>
      </c:valAx>
      <c:catAx>
        <c:axId val="80948608"/>
        <c:scaling>
          <c:orientation val="maxMin"/>
        </c:scaling>
        <c:axPos val="l"/>
        <c:tickLblPos val="nextTo"/>
        <c:crossAx val="80946688"/>
        <c:crosses val="autoZero"/>
        <c:auto val="1"/>
        <c:lblAlgn val="ctr"/>
        <c:lblOffset val="100"/>
      </c:catAx>
    </c:plotArea>
    <c:plotVisOnly val="1"/>
    <c:dispBlanksAs val="gap"/>
  </c:chart>
  <c:printSettings>
    <c:headerFooter/>
    <c:pageMargins b="1" l="0.75000000000000011" r="0.7500000000000001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Costs of</a:t>
            </a:r>
            <a:r>
              <a:rPr lang="en-US" baseline="0"/>
              <a:t> Outdoor Lighting</a:t>
            </a:r>
            <a:endParaRPr lang="en-US"/>
          </a:p>
        </c:rich>
      </c:tx>
      <c:layout/>
    </c:title>
    <c:plotArea>
      <c:layout/>
      <c:barChart>
        <c:barDir val="bar"/>
        <c:grouping val="clustered"/>
        <c:ser>
          <c:idx val="0"/>
          <c:order val="0"/>
          <c:tx>
            <c:strRef>
              <c:f>'Tables and Charts'!$C$115</c:f>
              <c:strCache>
                <c:ptCount val="1"/>
                <c:pt idx="0">
                  <c:v>Electricity Cost (USD/yr)</c:v>
                </c:pt>
              </c:strCache>
            </c:strRef>
          </c:tx>
          <c:dPt>
            <c:idx val="0"/>
            <c:spPr>
              <a:solidFill>
                <a:srgbClr val="FFFF00"/>
              </a:solidFill>
            </c:spPr>
          </c:dPt>
          <c:dPt>
            <c:idx val="1"/>
            <c:spPr>
              <a:solidFill>
                <a:srgbClr val="FF0000"/>
              </a:solidFill>
            </c:spPr>
          </c:dPt>
          <c:dPt>
            <c:idx val="2"/>
            <c:spPr>
              <a:solidFill>
                <a:srgbClr val="008000"/>
              </a:solidFill>
            </c:spPr>
          </c:dPt>
          <c:cat>
            <c:strRef>
              <c:f>'Tables and Charts'!$B$116:$B$118</c:f>
              <c:strCache>
                <c:ptCount val="3"/>
                <c:pt idx="0">
                  <c:v>Lighting Districts</c:v>
                </c:pt>
                <c:pt idx="1">
                  <c:v>Traffic Signals</c:v>
                </c:pt>
                <c:pt idx="2">
                  <c:v>Streetlights (Other)</c:v>
                </c:pt>
              </c:strCache>
            </c:strRef>
          </c:cat>
          <c:val>
            <c:numRef>
              <c:f>'Tables and Charts'!$C$116:$C$118</c:f>
              <c:numCache>
                <c:formatCode>_("$"* #,##0_);_("$"* \(#,##0\);_("$"* "-"??_);_(@_)</c:formatCode>
                <c:ptCount val="3"/>
                <c:pt idx="0">
                  <c:v>373913.51999999996</c:v>
                </c:pt>
                <c:pt idx="1">
                  <c:v>13063.180000000004</c:v>
                </c:pt>
                <c:pt idx="2">
                  <c:v>3203.6499999999996</c:v>
                </c:pt>
              </c:numCache>
            </c:numRef>
          </c:val>
        </c:ser>
        <c:dLbls/>
        <c:gapWidth val="100"/>
        <c:axId val="80976128"/>
        <c:axId val="80974208"/>
      </c:barChart>
      <c:valAx>
        <c:axId val="80974208"/>
        <c:scaling>
          <c:orientation val="minMax"/>
        </c:scaling>
        <c:axPos val="b"/>
        <c:majorGridlines/>
        <c:title>
          <c:tx>
            <c:rich>
              <a:bodyPr/>
              <a:lstStyle/>
              <a:p>
                <a:pPr>
                  <a:defRPr/>
                </a:pPr>
                <a:r>
                  <a:rPr lang="en-US"/>
                  <a:t>Cost of Electricity (USD/yr)</a:t>
                </a:r>
              </a:p>
            </c:rich>
          </c:tx>
          <c:layout/>
        </c:title>
        <c:numFmt formatCode="_(&quot;$&quot;* #,##0_);_(&quot;$&quot;* \(#,##0\);_(&quot;$&quot;* &quot;-&quot;??_);_(@_)" sourceLinked="1"/>
        <c:tickLblPos val="nextTo"/>
        <c:crossAx val="80976128"/>
        <c:crosses val="max"/>
        <c:crossBetween val="between"/>
        <c:majorUnit val="100000"/>
      </c:valAx>
      <c:catAx>
        <c:axId val="80976128"/>
        <c:scaling>
          <c:orientation val="maxMin"/>
        </c:scaling>
        <c:axPos val="l"/>
        <c:tickLblPos val="nextTo"/>
        <c:crossAx val="80974208"/>
        <c:crosses val="autoZero"/>
        <c:auto val="1"/>
        <c:lblAlgn val="ctr"/>
        <c:lblOffset val="100"/>
      </c:catAx>
    </c:plotArea>
    <c:plotVisOnly val="1"/>
    <c:dispBlanksAs val="gap"/>
  </c:chart>
  <c:printSettings>
    <c:headerFooter/>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by</a:t>
            </a:r>
            <a:r>
              <a:rPr lang="en-US" baseline="0"/>
              <a:t> Sector</a:t>
            </a:r>
            <a:endParaRPr lang="en-US"/>
          </a:p>
        </c:rich>
      </c:tx>
      <c:layout/>
    </c:title>
    <c:plotArea>
      <c:layout/>
      <c:pieChart>
        <c:varyColors val="1"/>
        <c:ser>
          <c:idx val="0"/>
          <c:order val="0"/>
          <c:tx>
            <c:strRef>
              <c:f>'Tables and Charts'!$C$19</c:f>
              <c:strCache>
                <c:ptCount val="1"/>
                <c:pt idx="0">
                  <c:v>GHG Emissions (MTCDE/yr)</c:v>
                </c:pt>
              </c:strCache>
            </c:strRef>
          </c:tx>
          <c:dPt>
            <c:idx val="0"/>
            <c:spPr>
              <a:solidFill>
                <a:schemeClr val="accent2"/>
              </a:solidFill>
            </c:spPr>
          </c:dPt>
          <c:dPt>
            <c:idx val="1"/>
            <c:spPr>
              <a:solidFill>
                <a:schemeClr val="accent1"/>
              </a:solidFill>
            </c:spPr>
          </c:dPt>
          <c:dPt>
            <c:idx val="2"/>
            <c:spPr>
              <a:solidFill>
                <a:schemeClr val="accent3"/>
              </a:solidFill>
            </c:spPr>
          </c:dPt>
          <c:dPt>
            <c:idx val="3"/>
            <c:spPr>
              <a:solidFill>
                <a:schemeClr val="accent4"/>
              </a:solidFill>
            </c:spPr>
          </c:dPt>
          <c:dPt>
            <c:idx val="4"/>
            <c:spPr>
              <a:solidFill>
                <a:schemeClr val="accent5"/>
              </a:solidFill>
            </c:spPr>
          </c:dPt>
          <c:dLbls>
            <c:showCatName val="1"/>
            <c:showPercent val="1"/>
            <c:showLeaderLines val="1"/>
          </c:dLbls>
          <c:cat>
            <c:strRef>
              <c:f>'Tables and Charts'!$B$20:$B$24</c:f>
              <c:strCache>
                <c:ptCount val="5"/>
                <c:pt idx="0">
                  <c:v>Bldgs and Other Facilities</c:v>
                </c:pt>
                <c:pt idx="1">
                  <c:v>Vehicle Fleet</c:v>
                </c:pt>
                <c:pt idx="2">
                  <c:v>Streetlights and Traffic Signals</c:v>
                </c:pt>
                <c:pt idx="3">
                  <c:v>Wastewater Treatment</c:v>
                </c:pt>
                <c:pt idx="4">
                  <c:v>Water Delivery</c:v>
                </c:pt>
              </c:strCache>
            </c:strRef>
          </c:cat>
          <c:val>
            <c:numRef>
              <c:f>'Tables and Charts'!$C$20:$C$24</c:f>
              <c:numCache>
                <c:formatCode>#,##0</c:formatCode>
                <c:ptCount val="5"/>
                <c:pt idx="0">
                  <c:v>868.96079844903034</c:v>
                </c:pt>
                <c:pt idx="1">
                  <c:v>588.07279760000006</c:v>
                </c:pt>
                <c:pt idx="2">
                  <c:v>298.92907948767612</c:v>
                </c:pt>
                <c:pt idx="3">
                  <c:v>258.82228701892672</c:v>
                </c:pt>
                <c:pt idx="4">
                  <c:v>212.92486152544993</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Costs by Sector</a:t>
            </a:r>
          </a:p>
        </c:rich>
      </c:tx>
      <c:layout/>
    </c:title>
    <c:plotArea>
      <c:layout/>
      <c:pieChart>
        <c:varyColors val="1"/>
        <c:ser>
          <c:idx val="0"/>
          <c:order val="0"/>
          <c:tx>
            <c:strRef>
              <c:f>'Tables and Charts'!$C$33</c:f>
              <c:strCache>
                <c:ptCount val="1"/>
                <c:pt idx="0">
                  <c:v>Energy Costs (USD/yr)</c:v>
                </c:pt>
              </c:strCache>
            </c:strRef>
          </c:tx>
          <c:dPt>
            <c:idx val="0"/>
            <c:spPr>
              <a:solidFill>
                <a:schemeClr val="accent3"/>
              </a:solidFill>
            </c:spPr>
          </c:dPt>
          <c:dPt>
            <c:idx val="1"/>
            <c:spPr>
              <a:solidFill>
                <a:schemeClr val="accent1"/>
              </a:solidFill>
            </c:spPr>
          </c:dPt>
          <c:dPt>
            <c:idx val="2"/>
            <c:spPr>
              <a:solidFill>
                <a:schemeClr val="accent2"/>
              </a:solidFill>
            </c:spPr>
          </c:dPt>
          <c:dPt>
            <c:idx val="3"/>
            <c:spPr>
              <a:solidFill>
                <a:schemeClr val="accent4"/>
              </a:solidFill>
            </c:spPr>
          </c:dPt>
          <c:dPt>
            <c:idx val="4"/>
            <c:spPr>
              <a:solidFill>
                <a:schemeClr val="accent5"/>
              </a:solidFill>
            </c:spPr>
          </c:dPt>
          <c:dLbls>
            <c:showCatName val="1"/>
            <c:showPercent val="1"/>
            <c:showLeaderLines val="1"/>
          </c:dLbls>
          <c:cat>
            <c:strRef>
              <c:f>'Tables and Charts'!$B$34:$B$38</c:f>
              <c:strCache>
                <c:ptCount val="5"/>
                <c:pt idx="0">
                  <c:v>Streetlights and Traffic Signals</c:v>
                </c:pt>
                <c:pt idx="1">
                  <c:v>Vehicle Fleet</c:v>
                </c:pt>
                <c:pt idx="2">
                  <c:v>Bldgs and Other Facilities</c:v>
                </c:pt>
                <c:pt idx="3">
                  <c:v>Wastewater Treatment</c:v>
                </c:pt>
                <c:pt idx="4">
                  <c:v>Water Delivery</c:v>
                </c:pt>
              </c:strCache>
            </c:strRef>
          </c:cat>
          <c:val>
            <c:numRef>
              <c:f>'Tables and Charts'!$C$34:$C$38</c:f>
              <c:numCache>
                <c:formatCode>"$"#,##0</c:formatCode>
                <c:ptCount val="5"/>
                <c:pt idx="0">
                  <c:v>390180.34999999986</c:v>
                </c:pt>
                <c:pt idx="1">
                  <c:v>202686.58000000002</c:v>
                </c:pt>
                <c:pt idx="2">
                  <c:v>197264.03000000003</c:v>
                </c:pt>
                <c:pt idx="3">
                  <c:v>88134.2</c:v>
                </c:pt>
                <c:pt idx="4">
                  <c:v>59660.21</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 from Vehicles</a:t>
            </a:r>
            <a:r>
              <a:rPr lang="en-US" baseline="0"/>
              <a:t> by Department</a:t>
            </a:r>
          </a:p>
        </c:rich>
      </c:tx>
    </c:title>
    <c:plotArea>
      <c:layout/>
      <c:pieChart>
        <c:varyColors val="1"/>
        <c:ser>
          <c:idx val="0"/>
          <c:order val="0"/>
          <c:tx>
            <c:strRef>
              <c:f>'Tables and Charts'!$C$81</c:f>
              <c:strCache>
                <c:ptCount val="1"/>
                <c:pt idx="0">
                  <c:v>GHG Emissions from Vehicles (MTCDE/yr)</c:v>
                </c:pt>
              </c:strCache>
            </c:strRef>
          </c:tx>
          <c:dPt>
            <c:idx val="0"/>
            <c:spPr>
              <a:solidFill>
                <a:schemeClr val="tx2">
                  <a:lumMod val="75000"/>
                </a:schemeClr>
              </a:solidFill>
            </c:spPr>
          </c:dPt>
          <c:dPt>
            <c:idx val="1"/>
            <c:spPr>
              <a:solidFill>
                <a:schemeClr val="accent6">
                  <a:lumMod val="75000"/>
                </a:schemeClr>
              </a:solidFill>
            </c:spPr>
          </c:dPt>
          <c:dPt>
            <c:idx val="2"/>
            <c:spPr>
              <a:solidFill>
                <a:schemeClr val="accent2">
                  <a:lumMod val="75000"/>
                </a:schemeClr>
              </a:solidFill>
            </c:spPr>
          </c:dPt>
          <c:dPt>
            <c:idx val="3"/>
            <c:spPr>
              <a:solidFill>
                <a:schemeClr val="accent3">
                  <a:lumMod val="75000"/>
                </a:schemeClr>
              </a:solidFill>
            </c:spPr>
          </c:dPt>
          <c:dPt>
            <c:idx val="4"/>
            <c:spPr>
              <a:solidFill>
                <a:schemeClr val="accent4">
                  <a:lumMod val="75000"/>
                </a:schemeClr>
              </a:solidFill>
            </c:spPr>
          </c:dPt>
          <c:dPt>
            <c:idx val="5"/>
            <c:spPr>
              <a:solidFill>
                <a:schemeClr val="accent5">
                  <a:lumMod val="75000"/>
                </a:schemeClr>
              </a:solidFill>
            </c:spPr>
          </c:dPt>
          <c:dLbls>
            <c:dLblPos val="bestFit"/>
            <c:showCatName val="1"/>
            <c:showPercent val="1"/>
            <c:showLeaderLines val="1"/>
          </c:dLbls>
          <c:cat>
            <c:strRef>
              <c:f>'Tables and Charts'!$B$82:$B$85</c:f>
              <c:strCache>
                <c:ptCount val="4"/>
                <c:pt idx="0">
                  <c:v>Public Works</c:v>
                </c:pt>
                <c:pt idx="1">
                  <c:v>Police</c:v>
                </c:pt>
                <c:pt idx="2">
                  <c:v>Fire</c:v>
                </c:pt>
                <c:pt idx="3">
                  <c:v>Code</c:v>
                </c:pt>
              </c:strCache>
            </c:strRef>
          </c:cat>
          <c:val>
            <c:numRef>
              <c:f>'Tables and Charts'!$C$82:$C$85</c:f>
              <c:numCache>
                <c:formatCode>#,##0</c:formatCode>
                <c:ptCount val="4"/>
                <c:pt idx="0">
                  <c:v>351.78632919760003</c:v>
                </c:pt>
                <c:pt idx="1">
                  <c:v>176.26510607200001</c:v>
                </c:pt>
                <c:pt idx="2">
                  <c:v>56.9160496696</c:v>
                </c:pt>
                <c:pt idx="3">
                  <c:v>10.162186232</c:v>
                </c:pt>
              </c:numCache>
            </c:numRef>
          </c:val>
        </c:ser>
        <c:dLbls>
          <c:showCatName val="1"/>
          <c:showPercent val="1"/>
        </c:dLbls>
        <c:firstSliceAng val="190"/>
      </c:pieChart>
    </c:plotArea>
    <c:plotVisOnly val="1"/>
    <c:dispBlanksAs val="zero"/>
  </c:chart>
  <c:printSettings>
    <c:headerFooter/>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Vehicle Fuel Costs by</a:t>
            </a:r>
            <a:r>
              <a:rPr lang="en-US" baseline="0"/>
              <a:t> Department</a:t>
            </a:r>
            <a:endParaRPr lang="en-US"/>
          </a:p>
        </c:rich>
      </c:tx>
      <c:layout/>
    </c:title>
    <c:plotArea>
      <c:layout/>
      <c:pieChart>
        <c:varyColors val="1"/>
        <c:ser>
          <c:idx val="0"/>
          <c:order val="0"/>
          <c:tx>
            <c:strRef>
              <c:f>'Tables and Charts'!$C$89</c:f>
              <c:strCache>
                <c:ptCount val="1"/>
                <c:pt idx="0">
                  <c:v>Gasoline &amp; Diesel Cost (USD/yr)</c:v>
                </c:pt>
              </c:strCache>
            </c:strRef>
          </c:tx>
          <c:dPt>
            <c:idx val="0"/>
            <c:spPr>
              <a:solidFill>
                <a:schemeClr val="tx2">
                  <a:lumMod val="75000"/>
                </a:schemeClr>
              </a:solidFill>
            </c:spPr>
          </c:dPt>
          <c:dPt>
            <c:idx val="1"/>
            <c:spPr>
              <a:solidFill>
                <a:schemeClr val="accent6">
                  <a:lumMod val="75000"/>
                </a:schemeClr>
              </a:solidFill>
            </c:spPr>
          </c:dPt>
          <c:dPt>
            <c:idx val="2"/>
            <c:spPr>
              <a:solidFill>
                <a:schemeClr val="accent2">
                  <a:lumMod val="75000"/>
                </a:schemeClr>
              </a:solidFill>
            </c:spPr>
          </c:dPt>
          <c:dPt>
            <c:idx val="3"/>
            <c:spPr>
              <a:solidFill>
                <a:schemeClr val="accent3">
                  <a:lumMod val="75000"/>
                </a:schemeClr>
              </a:solidFill>
            </c:spPr>
          </c:dPt>
          <c:dPt>
            <c:idx val="4"/>
            <c:spPr>
              <a:solidFill>
                <a:schemeClr val="accent2">
                  <a:lumMod val="75000"/>
                </a:schemeClr>
              </a:solidFill>
            </c:spPr>
          </c:dPt>
          <c:dPt>
            <c:idx val="5"/>
            <c:spPr>
              <a:solidFill>
                <a:schemeClr val="accent5">
                  <a:lumMod val="75000"/>
                </a:schemeClr>
              </a:solidFill>
            </c:spPr>
          </c:dPt>
          <c:dLbls>
            <c:dLbl>
              <c:idx val="0"/>
              <c:layout>
                <c:manualLayout>
                  <c:x val="1.4519553299080903E-2"/>
                  <c:y val="-4.92623149068823E-2"/>
                </c:manualLayout>
              </c:layout>
              <c:dLblPos val="bestFit"/>
              <c:showCatName val="1"/>
              <c:showPercent val="1"/>
            </c:dLbl>
            <c:dLblPos val="bestFit"/>
            <c:showCatName val="1"/>
            <c:showPercent val="1"/>
            <c:showLeaderLines val="1"/>
          </c:dLbls>
          <c:cat>
            <c:strRef>
              <c:f>'Tables and Charts'!$B$90:$B$93</c:f>
              <c:strCache>
                <c:ptCount val="4"/>
                <c:pt idx="0">
                  <c:v>Public Works</c:v>
                </c:pt>
                <c:pt idx="1">
                  <c:v>Police</c:v>
                </c:pt>
                <c:pt idx="2">
                  <c:v>Fire</c:v>
                </c:pt>
                <c:pt idx="3">
                  <c:v>Code</c:v>
                </c:pt>
              </c:strCache>
            </c:strRef>
          </c:cat>
          <c:val>
            <c:numRef>
              <c:f>'Tables and Charts'!$C$90:$C$93</c:f>
              <c:numCache>
                <c:formatCode>_("$"* #,##0_);_("$"* \(#,##0\);_("$"* "-"??_);_(@_)</c:formatCode>
                <c:ptCount val="4"/>
                <c:pt idx="0">
                  <c:v>125724.27</c:v>
                </c:pt>
                <c:pt idx="1">
                  <c:v>54065</c:v>
                </c:pt>
                <c:pt idx="2">
                  <c:v>19094.46</c:v>
                </c:pt>
                <c:pt idx="3">
                  <c:v>3802.85</c:v>
                </c:pt>
              </c:numCache>
            </c:numRef>
          </c:val>
        </c:ser>
        <c:dLbls>
          <c:showCatName val="1"/>
          <c:showPercent val="1"/>
        </c:dLbls>
        <c:firstSliceAng val="190"/>
      </c:pieChart>
    </c:plotArea>
    <c:plotVisOnly val="1"/>
    <c:dispBlanksAs val="zero"/>
  </c:chart>
  <c:printSettings>
    <c:headerFooter/>
    <c:pageMargins b="1" l="0.75000000000000011" r="0.750000000000000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a:t>
            </a:r>
            <a:r>
              <a:rPr lang="en-US" baseline="0"/>
              <a:t> from Buildings and Facilities</a:t>
            </a:r>
            <a:endParaRPr lang="en-US"/>
          </a:p>
        </c:rich>
      </c:tx>
      <c:layout/>
    </c:title>
    <c:plotArea>
      <c:layout/>
      <c:pieChart>
        <c:varyColors val="1"/>
        <c:ser>
          <c:idx val="0"/>
          <c:order val="0"/>
          <c:tx>
            <c:strRef>
              <c:f>'Tables and Charts'!$C$52</c:f>
              <c:strCache>
                <c:ptCount val="1"/>
                <c:pt idx="0">
                  <c:v>GHG Emissions (MTCDE/yr)</c:v>
                </c:pt>
              </c:strCache>
            </c:strRef>
          </c:tx>
          <c:dPt>
            <c:idx val="0"/>
            <c:spPr>
              <a:solidFill>
                <a:schemeClr val="accent5">
                  <a:lumMod val="60000"/>
                  <a:lumOff val="40000"/>
                </a:schemeClr>
              </a:solidFill>
            </c:spPr>
          </c:dPt>
          <c:dPt>
            <c:idx val="1"/>
            <c:spPr>
              <a:solidFill>
                <a:schemeClr val="accent6">
                  <a:lumMod val="60000"/>
                  <a:lumOff val="40000"/>
                </a:schemeClr>
              </a:solidFill>
            </c:spPr>
          </c:dPt>
          <c:dPt>
            <c:idx val="2"/>
            <c:spPr>
              <a:solidFill>
                <a:schemeClr val="accent2">
                  <a:lumMod val="60000"/>
                  <a:lumOff val="40000"/>
                </a:schemeClr>
              </a:solidFill>
            </c:spPr>
          </c:dPt>
          <c:dPt>
            <c:idx val="3"/>
            <c:spPr>
              <a:solidFill>
                <a:schemeClr val="accent3">
                  <a:lumMod val="75000"/>
                </a:schemeClr>
              </a:solidFill>
            </c:spPr>
          </c:dPt>
          <c:dLbls>
            <c:dLblPos val="bestFit"/>
            <c:showCatName val="1"/>
            <c:showPercent val="1"/>
            <c:showLeaderLines val="1"/>
          </c:dLbls>
          <c:cat>
            <c:strRef>
              <c:f>'Tables and Charts'!$B$53:$B$56</c:f>
              <c:strCache>
                <c:ptCount val="4"/>
                <c:pt idx="0">
                  <c:v>Admin</c:v>
                </c:pt>
                <c:pt idx="1">
                  <c:v>Misc</c:v>
                </c:pt>
                <c:pt idx="2">
                  <c:v>Firehouses</c:v>
                </c:pt>
                <c:pt idx="3">
                  <c:v>Recreation</c:v>
                </c:pt>
              </c:strCache>
            </c:strRef>
          </c:cat>
          <c:val>
            <c:numRef>
              <c:f>'Tables and Charts'!$C$53:$C$56</c:f>
              <c:numCache>
                <c:formatCode>#,##0</c:formatCode>
                <c:ptCount val="4"/>
                <c:pt idx="0">
                  <c:v>412.33952440065195</c:v>
                </c:pt>
                <c:pt idx="1">
                  <c:v>321.26045620900106</c:v>
                </c:pt>
                <c:pt idx="2">
                  <c:v>118.40625566035327</c:v>
                </c:pt>
                <c:pt idx="3">
                  <c:v>16.954562179024048</c:v>
                </c:pt>
              </c:numCache>
            </c:numRef>
          </c:val>
        </c:ser>
        <c:dLbls/>
        <c:firstSliceAng val="190"/>
      </c:pieChart>
    </c:plotArea>
    <c:plotVisOnly val="1"/>
    <c:dispBlanksAs val="zero"/>
  </c:chart>
  <c:printSettings>
    <c:headerFooter/>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Energy Costs of</a:t>
            </a:r>
            <a:r>
              <a:rPr lang="en-US" baseline="0"/>
              <a:t> Buildings and Facilities</a:t>
            </a:r>
            <a:endParaRPr lang="en-US"/>
          </a:p>
        </c:rich>
      </c:tx>
      <c:layout/>
    </c:title>
    <c:plotArea>
      <c:layout/>
      <c:pieChart>
        <c:varyColors val="1"/>
        <c:ser>
          <c:idx val="0"/>
          <c:order val="0"/>
          <c:tx>
            <c:strRef>
              <c:f>'Tables and Charts'!$C$60</c:f>
              <c:strCache>
                <c:ptCount val="1"/>
                <c:pt idx="0">
                  <c:v>Energy Cost (USD/yr)</c:v>
                </c:pt>
              </c:strCache>
            </c:strRef>
          </c:tx>
          <c:dPt>
            <c:idx val="0"/>
            <c:spPr>
              <a:solidFill>
                <a:schemeClr val="accent5">
                  <a:lumMod val="60000"/>
                  <a:lumOff val="40000"/>
                </a:schemeClr>
              </a:solidFill>
            </c:spPr>
          </c:dPt>
          <c:dPt>
            <c:idx val="1"/>
            <c:spPr>
              <a:solidFill>
                <a:schemeClr val="accent6">
                  <a:lumMod val="60000"/>
                  <a:lumOff val="40000"/>
                </a:schemeClr>
              </a:solidFill>
            </c:spPr>
          </c:dPt>
          <c:dPt>
            <c:idx val="2"/>
            <c:spPr>
              <a:solidFill>
                <a:schemeClr val="accent2">
                  <a:lumMod val="60000"/>
                  <a:lumOff val="40000"/>
                </a:schemeClr>
              </a:solidFill>
            </c:spPr>
          </c:dPt>
          <c:dPt>
            <c:idx val="3"/>
            <c:spPr>
              <a:solidFill>
                <a:schemeClr val="accent3">
                  <a:lumMod val="75000"/>
                </a:schemeClr>
              </a:solidFill>
            </c:spPr>
          </c:dPt>
          <c:dLbls>
            <c:dLblPos val="bestFit"/>
            <c:showCatName val="1"/>
            <c:showPercent val="1"/>
            <c:showLeaderLines val="1"/>
          </c:dLbls>
          <c:cat>
            <c:strRef>
              <c:f>'Tables and Charts'!$B$61:$B$64</c:f>
              <c:strCache>
                <c:ptCount val="4"/>
                <c:pt idx="0">
                  <c:v>Admin</c:v>
                </c:pt>
                <c:pt idx="1">
                  <c:v>Misc</c:v>
                </c:pt>
                <c:pt idx="2">
                  <c:v>Firehouses</c:v>
                </c:pt>
                <c:pt idx="3">
                  <c:v>Recreation</c:v>
                </c:pt>
              </c:strCache>
            </c:strRef>
          </c:cat>
          <c:val>
            <c:numRef>
              <c:f>'Tables and Charts'!$C$61:$C$64</c:f>
              <c:numCache>
                <c:formatCode>_("$"* #,##0_);_("$"* \(#,##0\);_("$"* "-"??_);_(@_)</c:formatCode>
                <c:ptCount val="4"/>
                <c:pt idx="0">
                  <c:v>80747.680000000008</c:v>
                </c:pt>
                <c:pt idx="1">
                  <c:v>79660.310000000012</c:v>
                </c:pt>
                <c:pt idx="2">
                  <c:v>26930.1</c:v>
                </c:pt>
                <c:pt idx="3">
                  <c:v>9925.9399999999987</c:v>
                </c:pt>
              </c:numCache>
            </c:numRef>
          </c:val>
        </c:ser>
        <c:dLbls>
          <c:showCatName val="1"/>
          <c:showPercent val="1"/>
        </c:dLbls>
        <c:firstSliceAng val="190"/>
      </c:pieChart>
    </c:plotArea>
    <c:plotVisOnly val="1"/>
    <c:dispBlanksAs val="zero"/>
  </c:chart>
  <c:printSettings>
    <c:headerFooter/>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GHG Emissions</a:t>
            </a:r>
            <a:r>
              <a:rPr lang="en-US" baseline="0"/>
              <a:t> from Facilities</a:t>
            </a:r>
            <a:r>
              <a:rPr lang="en-US"/>
              <a:t> </a:t>
            </a:r>
          </a:p>
        </c:rich>
      </c:tx>
    </c:title>
    <c:plotArea>
      <c:layout/>
      <c:barChart>
        <c:barDir val="bar"/>
        <c:grouping val="clustered"/>
        <c:ser>
          <c:idx val="0"/>
          <c:order val="0"/>
          <c:tx>
            <c:strRef>
              <c:f>'Tables and Charts'!$E$133</c:f>
              <c:strCache>
                <c:ptCount val="1"/>
                <c:pt idx="0">
                  <c:v>GHG Emissions (MTCDE/yr)</c:v>
                </c:pt>
              </c:strCache>
            </c:strRef>
          </c:tx>
          <c:spPr>
            <a:solidFill>
              <a:srgbClr val="660066"/>
            </a:solidFill>
          </c:spPr>
          <c:cat>
            <c:strRef>
              <c:f>'Tables and Charts'!$B$134:$B$143</c:f>
              <c:strCache>
                <c:ptCount val="10"/>
                <c:pt idx="0">
                  <c:v>Wastewater Pump Stations</c:v>
                </c:pt>
                <c:pt idx="1">
                  <c:v>DPW Facility</c:v>
                </c:pt>
                <c:pt idx="2">
                  <c:v>City Hall</c:v>
                </c:pt>
                <c:pt idx="3">
                  <c:v>Water Filtration Plant</c:v>
                </c:pt>
                <c:pt idx="4">
                  <c:v>Music Hall</c:v>
                </c:pt>
                <c:pt idx="5">
                  <c:v>Firehouses</c:v>
                </c:pt>
                <c:pt idx="6">
                  <c:v>Senior Center</c:v>
                </c:pt>
                <c:pt idx="7">
                  <c:v>Public Library</c:v>
                </c:pt>
                <c:pt idx="8">
                  <c:v>Water Supply Pump House</c:v>
                </c:pt>
                <c:pt idx="9">
                  <c:v>Parks/Rec Facilities</c:v>
                </c:pt>
              </c:strCache>
            </c:strRef>
          </c:cat>
          <c:val>
            <c:numRef>
              <c:f>'Tables and Charts'!$E$134:$E$143</c:f>
              <c:numCache>
                <c:formatCode>#,##0</c:formatCode>
                <c:ptCount val="10"/>
                <c:pt idx="0">
                  <c:v>258.82228701892672</c:v>
                </c:pt>
                <c:pt idx="1">
                  <c:v>216.65654031974182</c:v>
                </c:pt>
                <c:pt idx="2">
                  <c:v>195.6829840809101</c:v>
                </c:pt>
                <c:pt idx="3">
                  <c:v>194.06511272544992</c:v>
                </c:pt>
                <c:pt idx="4">
                  <c:v>142.86017920107773</c:v>
                </c:pt>
                <c:pt idx="5">
                  <c:v>118.40625566035327</c:v>
                </c:pt>
                <c:pt idx="6">
                  <c:v>98.670794515198097</c:v>
                </c:pt>
                <c:pt idx="7">
                  <c:v>79.729482492725296</c:v>
                </c:pt>
                <c:pt idx="8">
                  <c:v>18.859748800000002</c:v>
                </c:pt>
                <c:pt idx="9">
                  <c:v>16.954562179024048</c:v>
                </c:pt>
              </c:numCache>
            </c:numRef>
          </c:val>
        </c:ser>
        <c:dLbls/>
        <c:axId val="79287040"/>
        <c:axId val="79288576"/>
      </c:barChart>
      <c:catAx>
        <c:axId val="79287040"/>
        <c:scaling>
          <c:orientation val="maxMin"/>
        </c:scaling>
        <c:axPos val="l"/>
        <c:tickLblPos val="nextTo"/>
        <c:crossAx val="79288576"/>
        <c:crosses val="autoZero"/>
        <c:auto val="1"/>
        <c:lblAlgn val="ctr"/>
        <c:lblOffset val="100"/>
      </c:catAx>
      <c:valAx>
        <c:axId val="79288576"/>
        <c:scaling>
          <c:orientation val="minMax"/>
        </c:scaling>
        <c:axPos val="b"/>
        <c:majorGridlines/>
        <c:title>
          <c:tx>
            <c:rich>
              <a:bodyPr/>
              <a:lstStyle/>
              <a:p>
                <a:pPr>
                  <a:defRPr/>
                </a:pPr>
                <a:r>
                  <a:rPr lang="en-US"/>
                  <a:t>Metric</a:t>
                </a:r>
                <a:r>
                  <a:rPr lang="en-US" baseline="0"/>
                  <a:t> Tons of Carbon Dioxide Equivalent (MTCDE/yr)</a:t>
                </a:r>
                <a:endParaRPr lang="en-US"/>
              </a:p>
            </c:rich>
          </c:tx>
        </c:title>
        <c:numFmt formatCode="#,##0" sourceLinked="0"/>
        <c:tickLblPos val="nextTo"/>
        <c:crossAx val="79287040"/>
        <c:crosses val="max"/>
        <c:crossBetween val="between"/>
      </c:valAx>
    </c:plotArea>
    <c:plotVisOnly val="1"/>
    <c:dispBlanksAs val="gap"/>
  </c:chart>
  <c:printSettings>
    <c:headerFooter/>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image" Target="../media/image1.png"/><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8</xdr:col>
      <xdr:colOff>5080</xdr:colOff>
      <xdr:row>14</xdr:row>
      <xdr:rowOff>162560</xdr:rowOff>
    </xdr:from>
    <xdr:to>
      <xdr:col>13</xdr:col>
      <xdr:colOff>375920</xdr:colOff>
      <xdr:row>27</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609600</xdr:colOff>
      <xdr:row>28</xdr:row>
      <xdr:rowOff>132080</xdr:rowOff>
    </xdr:from>
    <xdr:to>
      <xdr:col>15</xdr:col>
      <xdr:colOff>640080</xdr:colOff>
      <xdr:row>41</xdr:row>
      <xdr:rowOff>162560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163830</xdr:colOff>
      <xdr:row>14</xdr:row>
      <xdr:rowOff>101600</xdr:rowOff>
    </xdr:from>
    <xdr:to>
      <xdr:col>7</xdr:col>
      <xdr:colOff>558800</xdr:colOff>
      <xdr:row>26</xdr:row>
      <xdr:rowOff>5080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133350</xdr:colOff>
      <xdr:row>29</xdr:row>
      <xdr:rowOff>81280</xdr:rowOff>
    </xdr:from>
    <xdr:to>
      <xdr:col>8</xdr:col>
      <xdr:colOff>325120</xdr:colOff>
      <xdr:row>41</xdr:row>
      <xdr:rowOff>132080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365760</xdr:colOff>
      <xdr:row>77</xdr:row>
      <xdr:rowOff>60960</xdr:rowOff>
    </xdr:from>
    <xdr:to>
      <xdr:col>7</xdr:col>
      <xdr:colOff>650240</xdr:colOff>
      <xdr:row>86</xdr:row>
      <xdr:rowOff>60960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370840</xdr:colOff>
      <xdr:row>86</xdr:row>
      <xdr:rowOff>162560</xdr:rowOff>
    </xdr:from>
    <xdr:to>
      <xdr:col>7</xdr:col>
      <xdr:colOff>599440</xdr:colOff>
      <xdr:row>98</xdr:row>
      <xdr:rowOff>111760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330200</xdr:colOff>
      <xdr:row>43</xdr:row>
      <xdr:rowOff>477520</xdr:rowOff>
    </xdr:from>
    <xdr:to>
      <xdr:col>12</xdr:col>
      <xdr:colOff>284480</xdr:colOff>
      <xdr:row>54</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259080</xdr:colOff>
      <xdr:row>55</xdr:row>
      <xdr:rowOff>111760</xdr:rowOff>
    </xdr:from>
    <xdr:to>
      <xdr:col>9</xdr:col>
      <xdr:colOff>50800</xdr:colOff>
      <xdr:row>65</xdr:row>
      <xdr:rowOff>71120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1529080</xdr:colOff>
      <xdr:row>143</xdr:row>
      <xdr:rowOff>81280</xdr:rowOff>
    </xdr:from>
    <xdr:to>
      <xdr:col>9</xdr:col>
      <xdr:colOff>30480</xdr:colOff>
      <xdr:row>159</xdr:row>
      <xdr:rowOff>20320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132080</xdr:colOff>
      <xdr:row>194</xdr:row>
      <xdr:rowOff>139700</xdr:rowOff>
    </xdr:from>
    <xdr:to>
      <xdr:col>10</xdr:col>
      <xdr:colOff>40640</xdr:colOff>
      <xdr:row>203</xdr:row>
      <xdr:rowOff>81280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198120</xdr:colOff>
      <xdr:row>205</xdr:row>
      <xdr:rowOff>142240</xdr:rowOff>
    </xdr:from>
    <xdr:to>
      <xdr:col>7</xdr:col>
      <xdr:colOff>406400</xdr:colOff>
      <xdr:row>216</xdr:row>
      <xdr:rowOff>142240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304800</xdr:colOff>
      <xdr:row>160</xdr:row>
      <xdr:rowOff>20320</xdr:rowOff>
    </xdr:from>
    <xdr:to>
      <xdr:col>14</xdr:col>
      <xdr:colOff>375920</xdr:colOff>
      <xdr:row>175</xdr:row>
      <xdr:rowOff>40640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72390</xdr:colOff>
      <xdr:row>205</xdr:row>
      <xdr:rowOff>215900</xdr:rowOff>
    </xdr:from>
    <xdr:to>
      <xdr:col>14</xdr:col>
      <xdr:colOff>660400</xdr:colOff>
      <xdr:row>216</xdr:row>
      <xdr:rowOff>101600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326390</xdr:colOff>
      <xdr:row>194</xdr:row>
      <xdr:rowOff>165100</xdr:rowOff>
    </xdr:from>
    <xdr:to>
      <xdr:col>21</xdr:col>
      <xdr:colOff>193040</xdr:colOff>
      <xdr:row>205</xdr:row>
      <xdr:rowOff>73660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502920</xdr:colOff>
      <xdr:row>43</xdr:row>
      <xdr:rowOff>365760</xdr:rowOff>
    </xdr:from>
    <xdr:to>
      <xdr:col>19</xdr:col>
      <xdr:colOff>223520</xdr:colOff>
      <xdr:row>53</xdr:row>
      <xdr:rowOff>137160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594360</xdr:colOff>
      <xdr:row>55</xdr:row>
      <xdr:rowOff>167640</xdr:rowOff>
    </xdr:from>
    <xdr:to>
      <xdr:col>16</xdr:col>
      <xdr:colOff>416560</xdr:colOff>
      <xdr:row>65</xdr:row>
      <xdr:rowOff>152400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259080</xdr:colOff>
      <xdr:row>75</xdr:row>
      <xdr:rowOff>15240</xdr:rowOff>
    </xdr:from>
    <xdr:to>
      <xdr:col>14</xdr:col>
      <xdr:colOff>96520</xdr:colOff>
      <xdr:row>87</xdr:row>
      <xdr:rowOff>35560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66040</xdr:colOff>
      <xdr:row>88</xdr:row>
      <xdr:rowOff>35560</xdr:rowOff>
    </xdr:from>
    <xdr:to>
      <xdr:col>14</xdr:col>
      <xdr:colOff>294640</xdr:colOff>
      <xdr:row>98</xdr:row>
      <xdr:rowOff>111760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304800</xdr:colOff>
      <xdr:row>114</xdr:row>
      <xdr:rowOff>10160</xdr:rowOff>
    </xdr:from>
    <xdr:to>
      <xdr:col>7</xdr:col>
      <xdr:colOff>568960</xdr:colOff>
      <xdr:row>126</xdr:row>
      <xdr:rowOff>121920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284480</xdr:colOff>
      <xdr:row>101</xdr:row>
      <xdr:rowOff>81280</xdr:rowOff>
    </xdr:from>
    <xdr:to>
      <xdr:col>10</xdr:col>
      <xdr:colOff>701040</xdr:colOff>
      <xdr:row>113</xdr:row>
      <xdr:rowOff>30480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71120</xdr:colOff>
      <xdr:row>101</xdr:row>
      <xdr:rowOff>233680</xdr:rowOff>
    </xdr:from>
    <xdr:to>
      <xdr:col>19</xdr:col>
      <xdr:colOff>243840</xdr:colOff>
      <xdr:row>111</xdr:row>
      <xdr:rowOff>152400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30480</xdr:colOff>
      <xdr:row>114</xdr:row>
      <xdr:rowOff>121920</xdr:rowOff>
    </xdr:from>
    <xdr:to>
      <xdr:col>15</xdr:col>
      <xdr:colOff>152400</xdr:colOff>
      <xdr:row>126</xdr:row>
      <xdr:rowOff>162560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oneCellAnchor>
    <xdr:from>
      <xdr:col>6</xdr:col>
      <xdr:colOff>350521</xdr:colOff>
      <xdr:row>2</xdr:row>
      <xdr:rowOff>259080</xdr:rowOff>
    </xdr:from>
    <xdr:ext cx="3474720" cy="1203960"/>
    <xdr:sp macro="" textlink="">
      <xdr:nvSpPr>
        <xdr:cNvPr id="24" name="TextBox 23"/>
        <xdr:cNvSpPr txBox="1"/>
      </xdr:nvSpPr>
      <xdr:spPr>
        <a:xfrm>
          <a:off x="5615941" y="967740"/>
          <a:ext cx="3474720" cy="1203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This Spreadsheet</a:t>
          </a:r>
          <a:r>
            <a:rPr lang="en-US" sz="1100" baseline="0"/>
            <a:t> Contains all of the data and GHG emissions calculations contained in the report:</a:t>
          </a:r>
        </a:p>
        <a:p>
          <a:endParaRPr lang="en-US" sz="1100" baseline="0"/>
        </a:p>
        <a:p>
          <a:r>
            <a:rPr lang="en-US" sz="1100" b="1"/>
            <a:t>Cohoes 2012 GHG Inventory.Draft May 2014.pdf</a:t>
          </a:r>
        </a:p>
      </xdr:txBody>
    </xdr:sp>
    <xdr:clientData/>
  </xdr:oneCellAnchor>
  <xdr:twoCellAnchor editAs="oneCell">
    <xdr:from>
      <xdr:col>6</xdr:col>
      <xdr:colOff>320040</xdr:colOff>
      <xdr:row>5</xdr:row>
      <xdr:rowOff>45721</xdr:rowOff>
    </xdr:from>
    <xdr:to>
      <xdr:col>7</xdr:col>
      <xdr:colOff>601980</xdr:colOff>
      <xdr:row>10</xdr:row>
      <xdr:rowOff>91441</xdr:rowOff>
    </xdr:to>
    <xdr:pic>
      <xdr:nvPicPr>
        <xdr:cNvPr id="26" name="Picture 25" descr="C:\Users\Jim\AppData\Local\Microsoft\Windows\Temporary Internet Files\Content.Word\CSClogo_color_hires.png.png"/>
        <xdr:cNvPicPr/>
      </xdr:nvPicPr>
      <xdr:blipFill>
        <a:blip xmlns:r="http://schemas.openxmlformats.org/officeDocument/2006/relationships" r:embed="rId23" cstate="print">
          <a:extLst>
            <a:ext uri="{28A0092B-C50C-407E-A947-70E740481C1C}">
              <a14:useLocalDpi xmlns="" xmlns:wpc="http://schemas.microsoft.com/office/word/2010/wordprocessingCanvas" xmlns:mo="http://schemas.microsoft.com/office/mac/office/2008/main" xmlns:mc="http://schemas.openxmlformats.org/markup-compatibility/2006" xmlns:mv="urn:schemas-microsoft-com:mac:vml" xmlns:o="urn:schemas-microsoft-com:office:office"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a14="http://schemas.microsoft.com/office/drawing/2010/main" xmlns:pic="http://schemas.openxmlformats.org/drawingml/2006/picture" xmlns:lc="http://schemas.openxmlformats.org/drawingml/2006/lockedCanvas" val="0"/>
            </a:ext>
          </a:extLst>
        </a:blip>
        <a:srcRect/>
        <a:stretch>
          <a:fillRect/>
        </a:stretch>
      </xdr:blipFill>
      <xdr:spPr bwMode="auto">
        <a:xfrm>
          <a:off x="5585460" y="1889761"/>
          <a:ext cx="998220" cy="922020"/>
        </a:xfrm>
        <a:prstGeom prst="rect">
          <a:avLst/>
        </a:prstGeom>
        <a:noFill/>
        <a:ln w="9525">
          <a:noFill/>
          <a:miter lim="800000"/>
          <a:headEnd/>
          <a:tailEnd/>
        </a:ln>
      </xdr:spPr>
    </xdr:pic>
    <xdr:clientData/>
  </xdr:twoCellAnchor>
  <xdr:twoCellAnchor>
    <xdr:from>
      <xdr:col>8</xdr:col>
      <xdr:colOff>358140</xdr:colOff>
      <xdr:row>5</xdr:row>
      <xdr:rowOff>76200</xdr:rowOff>
    </xdr:from>
    <xdr:to>
      <xdr:col>11</xdr:col>
      <xdr:colOff>106680</xdr:colOff>
      <xdr:row>10</xdr:row>
      <xdr:rowOff>34680</xdr:rowOff>
    </xdr:to>
    <xdr:grpSp>
      <xdr:nvGrpSpPr>
        <xdr:cNvPr id="28" name="Group 27"/>
        <xdr:cNvGrpSpPr/>
      </xdr:nvGrpSpPr>
      <xdr:grpSpPr>
        <a:xfrm>
          <a:off x="7056120" y="1920240"/>
          <a:ext cx="2049780" cy="834780"/>
          <a:chOff x="6842760" y="2034540"/>
          <a:chExt cx="2049780" cy="834780"/>
        </a:xfrm>
      </xdr:grpSpPr>
      <xdr:pic>
        <xdr:nvPicPr>
          <xdr:cNvPr id="25" name="Picture 24"/>
          <xdr:cNvPicPr/>
        </xdr:nvPicPr>
        <xdr:blipFill>
          <a:blip xmlns:r="http://schemas.openxmlformats.org/officeDocument/2006/relationships" r:embed="rId24">
            <a:extLst>
              <a:ext uri="{28A0092B-C50C-407E-A947-70E740481C1C}">
                <a14:useLocalDpi xmlns="" xmlns:wpc="http://schemas.microsoft.com/office/word/2010/wordprocessingCanvas" xmlns:mo="http://schemas.microsoft.com/office/mac/office/2008/main" xmlns:mc="http://schemas.openxmlformats.org/markup-compatibility/2006" xmlns:mv="urn:schemas-microsoft-com:mac:vml" xmlns:o="urn:schemas-microsoft-com:office:office"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a14="http://schemas.microsoft.com/office/drawing/2010/main" xmlns:pic="http://schemas.openxmlformats.org/drawingml/2006/picture" xmlns:lc="http://schemas.openxmlformats.org/drawingml/2006/lockedCanvas" val="0"/>
              </a:ext>
            </a:extLst>
          </a:blip>
          <a:stretch>
            <a:fillRect/>
          </a:stretch>
        </xdr:blipFill>
        <xdr:spPr>
          <a:xfrm>
            <a:off x="6842760" y="2034540"/>
            <a:ext cx="2049780" cy="762000"/>
          </a:xfrm>
          <a:prstGeom prst="rect">
            <a:avLst/>
          </a:prstGeom>
          <a:extLst>
            <a:ext uri="{FAA26D3D-D897-4be2-8F04-BA451C77F1D7}">
              <ma14:placeholderFlag xmlns="" xmlns:wpc="http://schemas.microsoft.com/office/word/2010/wordprocessingCanvas" xmlns:mo="http://schemas.microsoft.com/office/mac/office/2008/main" xmlns:mc="http://schemas.openxmlformats.org/markup-compatibility/2006" xmlns:mv="urn:schemas-microsoft-com:mac:vml"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pic="http://schemas.openxmlformats.org/drawingml/2006/picture" xmlns:lc="http://schemas.openxmlformats.org/drawingml/2006/lockedCanvas"/>
            </a:ext>
          </a:extLst>
        </xdr:spPr>
      </xdr:pic>
      <xdr:sp macro="" textlink="">
        <xdr:nvSpPr>
          <xdr:cNvPr id="27" name="TextBox 26"/>
          <xdr:cNvSpPr txBox="1"/>
        </xdr:nvSpPr>
        <xdr:spPr>
          <a:xfrm>
            <a:off x="6842760" y="2651760"/>
            <a:ext cx="1895262"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800" b="1"/>
              <a:t>An Independent Contractor to NYSERDA</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1</xdr:rowOff>
    </xdr:from>
    <xdr:ext cx="7315200" cy="731520"/>
    <xdr:sp macro="" textlink="">
      <xdr:nvSpPr>
        <xdr:cNvPr id="2" name="TextBox 1"/>
        <xdr:cNvSpPr txBox="1"/>
      </xdr:nvSpPr>
      <xdr:spPr>
        <a:xfrm>
          <a:off x="101600" y="182881"/>
          <a:ext cx="7315200" cy="731520"/>
        </a:xfrm>
        <a:prstGeom prst="rect">
          <a:avLst/>
        </a:prstGeom>
        <a:solidFill>
          <a:srgbClr val="C6D9F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sz="1600" b="1" i="0" u="none" strike="noStrike" baseline="0">
              <a:solidFill>
                <a:srgbClr val="000000"/>
              </a:solidFill>
              <a:latin typeface="Calibri"/>
            </a:rPr>
            <a:t>Utility Data Summary</a:t>
          </a:r>
        </a:p>
        <a:p>
          <a:pPr algn="l" rtl="0">
            <a:defRPr sz="1000"/>
          </a:pPr>
          <a:r>
            <a:rPr lang="en-US" sz="1100" b="0" i="0" u="none" strike="noStrike" baseline="0">
              <a:solidFill>
                <a:srgbClr val="000000"/>
              </a:solidFill>
              <a:latin typeface="Calibri"/>
            </a:rPr>
            <a:t>This table summarizes the data on electricity, natural gas, and propane from the Utility Accounts tab using the LGOP sectors and sector subcategories. This table will auto-update when new data is entered into the Utility Accts tab.</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12405360" cy="822960"/>
    <xdr:sp macro="" textlink="">
      <xdr:nvSpPr>
        <xdr:cNvPr id="2" name="TextBox 1"/>
        <xdr:cNvSpPr txBox="1"/>
      </xdr:nvSpPr>
      <xdr:spPr>
        <a:xfrm>
          <a:off x="132080" y="365760"/>
          <a:ext cx="12405360" cy="822960"/>
        </a:xfrm>
        <a:prstGeom prst="rect">
          <a:avLst/>
        </a:prstGeom>
        <a:solidFill>
          <a:srgbClr val="C6D9F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sz="1600" b="1" i="0" u="none" strike="noStrike" baseline="0">
              <a:solidFill>
                <a:srgbClr val="000000"/>
              </a:solidFill>
              <a:latin typeface="Calibri"/>
            </a:rPr>
            <a:t>Utility Accounts</a:t>
          </a:r>
        </a:p>
        <a:p>
          <a:pPr algn="l" rtl="0">
            <a:defRPr sz="1000"/>
          </a:pPr>
          <a:r>
            <a:rPr lang="en-US" sz="1100" b="0" i="0" u="none" strike="noStrike" baseline="0">
              <a:solidFill>
                <a:srgbClr val="000000"/>
              </a:solidFill>
              <a:latin typeface="Calibri"/>
            </a:rPr>
            <a:t>This is the master mapping and calculation sheet for all utility accounts for electricity, natural gas, and propane. When updating, review the emissions factors in the GHG columns (S through AA) and check for updates from the LGOP. To delete an account, delete the entire row. To add a new account, use the insert row function anyware in the table and fill in the new row. </a:t>
          </a:r>
          <a:r>
            <a:rPr lang="en-US" sz="1100" b="0" i="1" u="none" strike="noStrike" baseline="0">
              <a:solidFill>
                <a:srgbClr val="000000"/>
              </a:solidFill>
              <a:latin typeface="Calibri"/>
            </a:rPr>
            <a:t>You must fill in the LGOP Reporting Classification of Account indicators (Column I - K) in order for the new source to be included in the final LGOP GHG reports.</a:t>
          </a:r>
          <a:r>
            <a:rPr lang="en-US" sz="1100" b="0" i="0" u="none" strike="noStrike" baseline="0">
              <a:solidFill>
                <a:srgbClr val="000000"/>
              </a:solidFill>
              <a:latin typeface="Calibri"/>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104775</xdr:colOff>
      <xdr:row>1</xdr:row>
      <xdr:rowOff>123825</xdr:rowOff>
    </xdr:from>
    <xdr:ext cx="6445879" cy="821055"/>
    <xdr:sp macro="" textlink="">
      <xdr:nvSpPr>
        <xdr:cNvPr id="2" name="TextBox 1"/>
        <xdr:cNvSpPr txBox="1"/>
      </xdr:nvSpPr>
      <xdr:spPr>
        <a:xfrm>
          <a:off x="297815" y="306705"/>
          <a:ext cx="6445879" cy="82105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rtl="0">
            <a:defRPr sz="1000"/>
          </a:pPr>
          <a:r>
            <a:rPr lang="en-US" sz="1600" b="1" i="0" u="none" strike="noStrike" baseline="0">
              <a:solidFill>
                <a:srgbClr val="000000"/>
              </a:solidFill>
              <a:latin typeface="Calibri"/>
            </a:rPr>
            <a:t>Vehicle Fleet</a:t>
          </a:r>
        </a:p>
        <a:p>
          <a:pPr algn="l" rtl="0">
            <a:defRPr sz="1000"/>
          </a:pPr>
          <a:r>
            <a:rPr lang="en-US" sz="1100" b="0" i="0" u="none" strike="noStrike" baseline="0">
              <a:solidFill>
                <a:srgbClr val="000000"/>
              </a:solidFill>
              <a:latin typeface="Calibri"/>
            </a:rPr>
            <a:t>Fill in usage and cost data by department from City filling station(s) or from fleet tracking software, when available. Subtract non-city owned fuel consumption for which the City invoices third parties (e.g. Housing, School, and Senior van)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C208"/>
  <sheetViews>
    <sheetView tabSelected="1" zoomScale="125" zoomScaleNormal="125" zoomScalePageLayoutView="125" workbookViewId="0">
      <selection activeCell="I12" sqref="I12"/>
    </sheetView>
  </sheetViews>
  <sheetFormatPr defaultColWidth="8.85546875" defaultRowHeight="15"/>
  <cols>
    <col min="1" max="1" width="3" customWidth="1"/>
    <col min="2" max="2" width="30.85546875" customWidth="1"/>
    <col min="3" max="3" width="12.28515625" customWidth="1"/>
    <col min="4" max="4" width="11" customWidth="1"/>
    <col min="5" max="5" width="10.85546875" customWidth="1"/>
    <col min="6" max="6" width="11" customWidth="1"/>
    <col min="7" max="8" width="10.7109375" customWidth="1"/>
    <col min="9" max="9" width="12.28515625" customWidth="1"/>
    <col min="10" max="10" width="11.28515625" customWidth="1"/>
    <col min="11" max="11" width="10.85546875" customWidth="1"/>
    <col min="12" max="12" width="13.7109375" customWidth="1"/>
    <col min="13" max="13" width="10.7109375" customWidth="1"/>
    <col min="17" max="17" width="7.28515625" customWidth="1"/>
    <col min="18" max="18" width="21.7109375" customWidth="1"/>
    <col min="19" max="25" width="7.7109375" customWidth="1"/>
    <col min="29" max="29" width="9.85546875" bestFit="1" customWidth="1"/>
  </cols>
  <sheetData>
    <row r="1" spans="1:16" ht="35.1" customHeight="1">
      <c r="A1" s="357" t="s">
        <v>258</v>
      </c>
      <c r="B1" s="357"/>
      <c r="C1" s="357"/>
      <c r="D1" s="357"/>
      <c r="E1" s="357"/>
      <c r="F1" s="357"/>
      <c r="G1" s="357"/>
      <c r="H1" s="357"/>
      <c r="I1" s="357"/>
      <c r="J1" s="357"/>
      <c r="K1" s="357"/>
      <c r="L1" s="357"/>
      <c r="M1" s="357"/>
      <c r="N1" s="357"/>
      <c r="O1" s="357"/>
      <c r="P1" s="357"/>
    </row>
    <row r="2" spans="1:16" s="3" customFormat="1" ht="21">
      <c r="A2" s="74"/>
      <c r="B2" s="74"/>
      <c r="C2" s="74"/>
      <c r="D2" s="74"/>
      <c r="E2" s="74"/>
      <c r="F2" s="74"/>
      <c r="G2" s="74"/>
      <c r="H2" s="74"/>
      <c r="I2" s="74"/>
      <c r="J2" s="74"/>
    </row>
    <row r="3" spans="1:16" s="3" customFormat="1" ht="61.5">
      <c r="A3" s="74"/>
      <c r="B3" s="244" t="s">
        <v>374</v>
      </c>
      <c r="C3" s="82" t="s">
        <v>281</v>
      </c>
      <c r="D3" s="82" t="s">
        <v>286</v>
      </c>
      <c r="E3" s="82" t="s">
        <v>282</v>
      </c>
      <c r="F3" s="290"/>
      <c r="G3" s="310"/>
      <c r="H3" s="311"/>
      <c r="I3" s="312"/>
      <c r="J3" s="312"/>
      <c r="K3" s="312"/>
      <c r="L3" s="96"/>
    </row>
    <row r="4" spans="1:16" s="3" customFormat="1" ht="14.1" customHeight="1">
      <c r="A4" s="74"/>
      <c r="B4" s="3" t="s">
        <v>363</v>
      </c>
      <c r="C4" s="149">
        <f>'Utility Summary'!$J$9</f>
        <v>868.96079844903034</v>
      </c>
      <c r="D4" s="150">
        <f>('Utility Summary'!$D$9*0.003412)+('Utility Summary'!F9*0.1)+('Utility Summary'!H9*0.0916)</f>
        <v>14295.464216</v>
      </c>
      <c r="E4" s="146">
        <f>'Utility Summary'!$E$9+'Utility Summary'!$G$9+'Utility Summary'!$I$9</f>
        <v>197264.03000000003</v>
      </c>
      <c r="F4" s="292"/>
      <c r="G4" s="294"/>
      <c r="H4" s="304"/>
      <c r="I4" s="313"/>
      <c r="J4" s="314"/>
      <c r="K4" s="315"/>
      <c r="L4" s="96"/>
    </row>
    <row r="5" spans="1:16" s="3" customFormat="1" ht="14.1" customHeight="1">
      <c r="A5" s="74"/>
      <c r="B5" s="3" t="s">
        <v>247</v>
      </c>
      <c r="C5" s="151">
        <f>'Fleet Data'!$L$23</f>
        <v>595.12967117120002</v>
      </c>
      <c r="D5" s="150">
        <f>('Fleet Data'!$C$21*0.124262)+('Fleet Data'!$D$21*0.1396)</f>
        <v>8181.6793861400001</v>
      </c>
      <c r="E5" s="146">
        <f>'Fleet Data'!$G$21</f>
        <v>202686.58000000002</v>
      </c>
      <c r="F5" s="291"/>
      <c r="G5" s="294"/>
      <c r="H5" s="304"/>
      <c r="I5" s="313"/>
      <c r="J5" s="314"/>
      <c r="K5" s="315"/>
      <c r="L5" s="96"/>
    </row>
    <row r="6" spans="1:16" s="3" customFormat="1" ht="14.1" customHeight="1">
      <c r="A6" s="282"/>
      <c r="B6" s="3" t="s">
        <v>6</v>
      </c>
      <c r="C6" s="151">
        <f>'Utility Summary'!$J$16</f>
        <v>298.92907948767612</v>
      </c>
      <c r="D6" s="150">
        <f>'Utility Summary'!$D$16*0.003412</f>
        <v>3574.9264120000003</v>
      </c>
      <c r="E6" s="146">
        <f>'Utility Summary'!$E$16+'Utility Summary'!$G$16+'Utility Summary'!$I$16</f>
        <v>390180.34999999986</v>
      </c>
      <c r="F6" s="293"/>
      <c r="G6" s="294"/>
      <c r="H6" s="304"/>
      <c r="I6" s="313"/>
      <c r="J6" s="314"/>
      <c r="K6" s="315"/>
      <c r="L6" s="96"/>
    </row>
    <row r="7" spans="1:16" ht="14.1" customHeight="1">
      <c r="B7" s="3" t="s">
        <v>250</v>
      </c>
      <c r="C7" s="151">
        <f>'Utility Summary'!$J$19</f>
        <v>258.82228701892672</v>
      </c>
      <c r="D7" s="150">
        <f>('Utility Summary'!$D$19*0.003412)+('Utility Summary'!$F$19*0.1)+('Utility Summary'!H19*0.0916)</f>
        <v>3096.0689160000002</v>
      </c>
      <c r="E7" s="146">
        <f>'Utility Summary'!$E$19+'Utility Summary'!$G$19+'Utility Summary'!$I$19</f>
        <v>88134.2</v>
      </c>
      <c r="F7" s="295"/>
      <c r="G7" s="316"/>
      <c r="H7" s="301"/>
      <c r="I7" s="317"/>
      <c r="J7" s="317"/>
      <c r="K7" s="318"/>
      <c r="L7" s="63"/>
    </row>
    <row r="8" spans="1:16" ht="14.1" customHeight="1">
      <c r="B8" s="81" t="s">
        <v>251</v>
      </c>
      <c r="C8" s="152">
        <f>'Utility Summary'!$J$21</f>
        <v>212.92486152544993</v>
      </c>
      <c r="D8" s="153">
        <f>('Utility Summary'!$D$21*0.003412)+('Utility Summary'!$F$21*0.1)+('Utility Summary'!H21*0.0916)</f>
        <v>3090.1961680000004</v>
      </c>
      <c r="E8" s="147">
        <f>'Utility Summary'!$E$21+'Utility Summary'!$G$21+'Utility Summary'!$I$21</f>
        <v>59660.21</v>
      </c>
      <c r="F8" s="295"/>
      <c r="G8" s="296"/>
      <c r="H8" s="259"/>
      <c r="I8" s="259"/>
      <c r="J8" s="259"/>
      <c r="K8" s="259"/>
      <c r="L8" s="63"/>
    </row>
    <row r="9" spans="1:16" ht="14.1" customHeight="1">
      <c r="B9" s="76" t="s">
        <v>257</v>
      </c>
      <c r="C9" s="154">
        <f>SUM(C4:C8)</f>
        <v>2234.7666976522833</v>
      </c>
      <c r="D9" s="155">
        <f>SUM(D4:D8)</f>
        <v>32238.33509814</v>
      </c>
      <c r="E9" s="148">
        <f>SUM(E4:E8)</f>
        <v>937925.36999999988</v>
      </c>
      <c r="F9" s="295"/>
      <c r="G9" s="316"/>
      <c r="H9" s="304"/>
      <c r="I9" s="313"/>
      <c r="J9" s="314"/>
      <c r="K9" s="315"/>
      <c r="L9" s="63"/>
    </row>
    <row r="10" spans="1:16" ht="14.1" customHeight="1">
      <c r="B10" s="76"/>
      <c r="C10" s="154"/>
      <c r="D10" s="155"/>
      <c r="E10" s="148"/>
      <c r="F10" s="295"/>
      <c r="G10" s="316"/>
      <c r="H10" s="96"/>
      <c r="I10" s="313"/>
      <c r="J10" s="314"/>
      <c r="K10" s="315"/>
      <c r="L10" s="63"/>
    </row>
    <row r="11" spans="1:16" ht="14.1" customHeight="1">
      <c r="A11" s="287"/>
      <c r="B11" s="287"/>
      <c r="C11" s="287"/>
      <c r="D11" s="287"/>
      <c r="E11" s="287"/>
      <c r="F11" s="295"/>
      <c r="G11" s="295"/>
      <c r="H11" s="301"/>
      <c r="I11" s="302"/>
      <c r="J11" s="302"/>
      <c r="K11" s="303"/>
    </row>
    <row r="12" spans="1:16" ht="14.1" customHeight="1">
      <c r="A12" s="287"/>
      <c r="B12" s="287"/>
      <c r="C12" s="287"/>
      <c r="D12" s="287"/>
      <c r="E12" s="287"/>
      <c r="F12" s="283"/>
      <c r="G12" s="283"/>
      <c r="H12" s="295"/>
      <c r="I12" s="295"/>
      <c r="J12" s="295"/>
      <c r="L12" s="287"/>
      <c r="M12" s="287"/>
      <c r="N12" s="287"/>
      <c r="O12" s="287"/>
      <c r="P12" s="287"/>
    </row>
    <row r="13" spans="1:16" ht="14.1" customHeight="1">
      <c r="A13" s="287"/>
      <c r="B13" s="287"/>
      <c r="C13" s="287"/>
      <c r="D13" s="287"/>
      <c r="E13" s="287"/>
      <c r="F13" s="297"/>
      <c r="G13" s="297"/>
      <c r="H13" s="297"/>
      <c r="I13" s="297"/>
      <c r="J13" s="297"/>
      <c r="K13" s="288"/>
      <c r="L13" s="288"/>
      <c r="M13" s="288"/>
      <c r="N13" s="288"/>
      <c r="O13" s="288"/>
      <c r="P13" s="288"/>
    </row>
    <row r="14" spans="1:16" ht="14.1" customHeight="1">
      <c r="A14" s="287"/>
      <c r="B14" s="287"/>
      <c r="C14" s="287"/>
      <c r="D14" s="287"/>
      <c r="E14" s="287"/>
    </row>
    <row r="15" spans="1:16" ht="14.1" customHeight="1">
      <c r="B15" s="76"/>
      <c r="C15" s="77"/>
      <c r="D15" s="78"/>
    </row>
    <row r="16" spans="1:16" ht="14.1" customHeight="1">
      <c r="B16" s="76"/>
      <c r="C16" s="77"/>
      <c r="D16" s="78"/>
    </row>
    <row r="17" spans="2:6" ht="14.1" customHeight="1"/>
    <row r="18" spans="2:6" ht="14.1" customHeight="1"/>
    <row r="19" spans="2:6" ht="45">
      <c r="B19" s="244" t="s">
        <v>374</v>
      </c>
      <c r="C19" s="82" t="s">
        <v>281</v>
      </c>
      <c r="D19" s="61"/>
    </row>
    <row r="20" spans="2:6">
      <c r="B20" s="3" t="s">
        <v>363</v>
      </c>
      <c r="C20" s="149">
        <f>'Utility Summary'!$J$9</f>
        <v>868.96079844903034</v>
      </c>
      <c r="D20" s="75"/>
      <c r="E20" s="5"/>
      <c r="F20" s="5"/>
    </row>
    <row r="21" spans="2:6">
      <c r="B21" s="3" t="s">
        <v>247</v>
      </c>
      <c r="C21" s="151">
        <f>'Fleet Data'!$J$21</f>
        <v>588.07279760000006</v>
      </c>
      <c r="D21" s="75"/>
      <c r="E21" s="6"/>
      <c r="F21" s="6"/>
    </row>
    <row r="22" spans="2:6">
      <c r="B22" s="3" t="s">
        <v>6</v>
      </c>
      <c r="C22" s="151">
        <f>'Utility Summary'!$J$16</f>
        <v>298.92907948767612</v>
      </c>
      <c r="D22" s="75"/>
      <c r="E22" s="6"/>
      <c r="F22" s="6"/>
    </row>
    <row r="23" spans="2:6">
      <c r="B23" s="3" t="s">
        <v>250</v>
      </c>
      <c r="C23" s="151">
        <f>'Utility Summary'!$J$19</f>
        <v>258.82228701892672</v>
      </c>
      <c r="D23" s="75"/>
      <c r="E23" s="6"/>
      <c r="F23" s="6"/>
    </row>
    <row r="24" spans="2:6">
      <c r="B24" s="81" t="s">
        <v>251</v>
      </c>
      <c r="C24" s="152">
        <f>'Utility Summary'!$J$21</f>
        <v>212.92486152544993</v>
      </c>
      <c r="D24" s="75"/>
      <c r="E24" s="6"/>
      <c r="F24" s="6"/>
    </row>
    <row r="25" spans="2:6">
      <c r="B25" s="234"/>
      <c r="C25" s="62"/>
      <c r="D25" s="75"/>
    </row>
    <row r="26" spans="2:6">
      <c r="B26" s="176"/>
      <c r="C26" s="77"/>
      <c r="D26" s="78"/>
    </row>
    <row r="27" spans="2:6">
      <c r="B27" s="76"/>
      <c r="C27" s="77"/>
      <c r="D27" s="78"/>
    </row>
    <row r="28" spans="2:6">
      <c r="B28" s="76"/>
      <c r="C28" s="77"/>
      <c r="D28" s="78"/>
    </row>
    <row r="29" spans="2:6">
      <c r="B29" s="76"/>
      <c r="C29" s="77"/>
      <c r="D29" s="78"/>
    </row>
    <row r="30" spans="2:6">
      <c r="B30" s="3"/>
      <c r="C30" s="3"/>
      <c r="D30" s="3"/>
      <c r="E30" s="15"/>
      <c r="F30" s="15"/>
    </row>
    <row r="31" spans="2:6">
      <c r="B31" s="3"/>
      <c r="C31" s="3"/>
      <c r="D31" s="3"/>
    </row>
    <row r="32" spans="2:6">
      <c r="B32" s="3"/>
      <c r="C32" s="3"/>
      <c r="D32" s="3"/>
    </row>
    <row r="33" spans="2:5" ht="30">
      <c r="B33" s="244" t="s">
        <v>374</v>
      </c>
      <c r="C33" s="82" t="s">
        <v>282</v>
      </c>
    </row>
    <row r="34" spans="2:5">
      <c r="B34" s="3" t="s">
        <v>6</v>
      </c>
      <c r="C34" s="146">
        <f>'Utility Summary'!$E$16+'Utility Summary'!$G$16+'Utility Summary'!$I$16</f>
        <v>390180.34999999986</v>
      </c>
    </row>
    <row r="35" spans="2:5">
      <c r="B35" s="3" t="s">
        <v>247</v>
      </c>
      <c r="C35" s="146">
        <f>'Fleet Data'!$G$21</f>
        <v>202686.58000000002</v>
      </c>
    </row>
    <row r="36" spans="2:5">
      <c r="B36" s="3" t="s">
        <v>363</v>
      </c>
      <c r="C36" s="146">
        <f>'Utility Summary'!$E$9+'Utility Summary'!$G$9+'Utility Summary'!$I$9</f>
        <v>197264.03000000003</v>
      </c>
    </row>
    <row r="37" spans="2:5">
      <c r="B37" s="3" t="s">
        <v>250</v>
      </c>
      <c r="C37" s="146">
        <f>'Utility Summary'!$E$19+'Utility Summary'!$G$19+'Utility Summary'!$I$19</f>
        <v>88134.2</v>
      </c>
    </row>
    <row r="38" spans="2:5">
      <c r="B38" s="81" t="s">
        <v>251</v>
      </c>
      <c r="C38" s="147">
        <f>'Utility Summary'!$E$21+'Utility Summary'!$G$21+'Utility Summary'!$I$21</f>
        <v>59660.21</v>
      </c>
    </row>
    <row r="39" spans="2:5">
      <c r="B39" s="3"/>
      <c r="C39" s="75"/>
    </row>
    <row r="40" spans="2:5">
      <c r="B40" s="76"/>
      <c r="C40" s="78"/>
    </row>
    <row r="44" spans="2:5" ht="60">
      <c r="B44" s="241" t="s">
        <v>425</v>
      </c>
      <c r="C44" s="82" t="s">
        <v>281</v>
      </c>
      <c r="D44" s="82" t="s">
        <v>286</v>
      </c>
      <c r="E44" s="82" t="s">
        <v>353</v>
      </c>
    </row>
    <row r="45" spans="2:5">
      <c r="B45" s="97" t="s">
        <v>367</v>
      </c>
      <c r="C45" s="156">
        <f>'Utility Summary'!$J$10</f>
        <v>412.33952440065195</v>
      </c>
      <c r="D45" s="156">
        <f>('Utility Summary'!$D$10*0.003412)+('Utility Summary'!$F$10*0.1)+('Utility Summary'!$H$10*0.0916)</f>
        <v>6990.1117200000008</v>
      </c>
      <c r="E45" s="158">
        <f>'Utility Summary'!$E$10+'Utility Summary'!$G$10+'Utility Summary'!$I$10</f>
        <v>80747.680000000008</v>
      </c>
    </row>
    <row r="46" spans="2:5">
      <c r="B46" s="96" t="s">
        <v>366</v>
      </c>
      <c r="C46" s="156">
        <f>'Utility Summary'!$J$11</f>
        <v>321.26045620900106</v>
      </c>
      <c r="D46" s="156">
        <f>('Utility Summary'!$D$11*0.003412)+('Utility Summary'!$F$11*0.1)+('Utility Summary'!$H$11*0.0916)</f>
        <v>5098.7933560000001</v>
      </c>
      <c r="E46" s="158">
        <f>'Utility Summary'!$E$11+'Utility Summary'!$G$11+'Utility Summary'!$I$11</f>
        <v>79660.310000000012</v>
      </c>
    </row>
    <row r="47" spans="2:5">
      <c r="B47" s="96" t="s">
        <v>365</v>
      </c>
      <c r="C47" s="156">
        <f>'Utility Summary'!$J$12</f>
        <v>118.40625566035327</v>
      </c>
      <c r="D47" s="156">
        <f>('Utility Summary'!$D$12*0.003412)+('Utility Summary'!$F$12*0.1)+('Utility Summary'!$H$12*0.0916)</f>
        <v>2003.797628</v>
      </c>
      <c r="E47" s="158">
        <f>'Utility Summary'!$E$12+'Utility Summary'!$G$12+'Utility Summary'!$I$12</f>
        <v>26930.1</v>
      </c>
    </row>
    <row r="48" spans="2:5">
      <c r="B48" s="81" t="s">
        <v>15</v>
      </c>
      <c r="C48" s="157">
        <f>'Utility Summary'!$J$13</f>
        <v>16.954562179024048</v>
      </c>
      <c r="D48" s="157">
        <f>('Utility Summary'!$D$13*0.003412)+('Utility Summary'!$F$13*0.1)+('Utility Summary'!$H$13*0.0916)</f>
        <v>202.76151200000001</v>
      </c>
      <c r="E48" s="159">
        <f>'Utility Summary'!$E$13+'Utility Summary'!$G$13+'Utility Summary'!$I$13</f>
        <v>9925.9399999999987</v>
      </c>
    </row>
    <row r="49" spans="2:5">
      <c r="B49" s="98" t="s">
        <v>376</v>
      </c>
      <c r="C49" s="156">
        <f t="shared" ref="C49:D49" si="0">SUM(C45:C48)</f>
        <v>868.96079844903034</v>
      </c>
      <c r="D49" s="156">
        <f t="shared" si="0"/>
        <v>14295.464216</v>
      </c>
      <c r="E49" s="158">
        <f>SUM(E45:E48)</f>
        <v>197264.03000000003</v>
      </c>
    </row>
    <row r="50" spans="2:5">
      <c r="B50" s="98"/>
      <c r="C50" s="4"/>
      <c r="D50" s="73"/>
    </row>
    <row r="51" spans="2:5">
      <c r="B51" s="98"/>
      <c r="C51" s="4"/>
      <c r="D51" s="73"/>
    </row>
    <row r="52" spans="2:5" ht="45">
      <c r="B52" s="241" t="s">
        <v>425</v>
      </c>
      <c r="C52" s="82" t="s">
        <v>281</v>
      </c>
      <c r="D52" s="73"/>
    </row>
    <row r="53" spans="2:5">
      <c r="B53" s="97" t="s">
        <v>367</v>
      </c>
      <c r="C53" s="156">
        <f>'Utility Summary'!$J$10</f>
        <v>412.33952440065195</v>
      </c>
      <c r="D53" s="73" t="s">
        <v>341</v>
      </c>
    </row>
    <row r="54" spans="2:5">
      <c r="B54" s="96" t="s">
        <v>366</v>
      </c>
      <c r="C54" s="156">
        <f>'Utility Summary'!$J$11</f>
        <v>321.26045620900106</v>
      </c>
      <c r="D54" s="73" t="s">
        <v>327</v>
      </c>
    </row>
    <row r="55" spans="2:5">
      <c r="B55" s="96" t="s">
        <v>365</v>
      </c>
      <c r="C55" s="156">
        <f>'Utility Summary'!$J$12</f>
        <v>118.40625566035327</v>
      </c>
      <c r="D55" s="73" t="s">
        <v>364</v>
      </c>
    </row>
    <row r="56" spans="2:5">
      <c r="B56" s="81" t="s">
        <v>15</v>
      </c>
      <c r="C56" s="157">
        <f>'Utility Summary'!$J$13</f>
        <v>16.954562179024048</v>
      </c>
    </row>
    <row r="57" spans="2:5">
      <c r="B57" s="234"/>
      <c r="C57" s="100"/>
    </row>
    <row r="58" spans="2:5">
      <c r="B58" s="96"/>
      <c r="C58" s="100"/>
    </row>
    <row r="59" spans="2:5">
      <c r="B59" s="96"/>
      <c r="C59" s="100"/>
    </row>
    <row r="60" spans="2:5" ht="30">
      <c r="B60" s="241" t="s">
        <v>425</v>
      </c>
      <c r="C60" s="82" t="s">
        <v>353</v>
      </c>
    </row>
    <row r="61" spans="2:5">
      <c r="B61" s="97" t="s">
        <v>367</v>
      </c>
      <c r="C61" s="158">
        <f>'Utility Summary'!$E$10+'Utility Summary'!$G$10+'Utility Summary'!$I$10</f>
        <v>80747.680000000008</v>
      </c>
    </row>
    <row r="62" spans="2:5">
      <c r="B62" s="96" t="s">
        <v>366</v>
      </c>
      <c r="C62" s="158">
        <f>'Utility Summary'!$E$11+'Utility Summary'!$G$11+'Utility Summary'!$I$11</f>
        <v>79660.310000000012</v>
      </c>
    </row>
    <row r="63" spans="2:5">
      <c r="B63" s="96" t="s">
        <v>365</v>
      </c>
      <c r="C63" s="158">
        <f>'Utility Summary'!$E$12+'Utility Summary'!$G$12+'Utility Summary'!$I$12</f>
        <v>26930.1</v>
      </c>
    </row>
    <row r="64" spans="2:5">
      <c r="B64" s="81" t="s">
        <v>15</v>
      </c>
      <c r="C64" s="159">
        <f>'Utility Summary'!$E$13+'Utility Summary'!$G$13+'Utility Summary'!$I$13</f>
        <v>9925.9399999999987</v>
      </c>
    </row>
    <row r="65" spans="2:8">
      <c r="B65" s="96"/>
      <c r="C65" s="169"/>
    </row>
    <row r="66" spans="2:8">
      <c r="B66" s="96"/>
      <c r="C66" s="169"/>
    </row>
    <row r="67" spans="2:8">
      <c r="B67" s="96"/>
      <c r="C67" s="169"/>
    </row>
    <row r="68" spans="2:8">
      <c r="B68" s="96"/>
      <c r="C68" s="169"/>
    </row>
    <row r="69" spans="2:8">
      <c r="B69" s="96"/>
      <c r="C69" s="73"/>
    </row>
    <row r="70" spans="2:8">
      <c r="B70" s="96"/>
      <c r="C70" s="73"/>
    </row>
    <row r="71" spans="2:8" ht="75">
      <c r="B71" s="215" t="s">
        <v>426</v>
      </c>
      <c r="C71" s="82" t="s">
        <v>329</v>
      </c>
      <c r="D71" s="177" t="s">
        <v>301</v>
      </c>
      <c r="E71" s="177" t="s">
        <v>302</v>
      </c>
      <c r="F71" s="82" t="s">
        <v>286</v>
      </c>
      <c r="G71" s="82" t="s">
        <v>300</v>
      </c>
    </row>
    <row r="72" spans="2:8">
      <c r="B72" s="72" t="s">
        <v>260</v>
      </c>
      <c r="C72" s="171">
        <f>('Fleet Data'!$L$14)</f>
        <v>351.78632919760003</v>
      </c>
      <c r="D72" s="151">
        <f>'Fleet Data'!$C$14</f>
        <v>10882.16</v>
      </c>
      <c r="E72" s="151">
        <f>'Fleet Data'!$D$14</f>
        <v>24688.5</v>
      </c>
      <c r="F72" s="151">
        <f>($D72*0.124262)+($E72*0.1396)</f>
        <v>4798.7535659200003</v>
      </c>
      <c r="G72" s="178">
        <f>'Fleet Data'!$G$14</f>
        <v>125724.27</v>
      </c>
      <c r="H72" s="143"/>
    </row>
    <row r="73" spans="2:8">
      <c r="B73" s="72" t="s">
        <v>68</v>
      </c>
      <c r="C73" s="171">
        <f>'Fleet Data'!$L$13</f>
        <v>176.26510607200001</v>
      </c>
      <c r="D73" s="151">
        <f>'Fleet Data'!$C$13</f>
        <v>19837.7</v>
      </c>
      <c r="E73" s="151">
        <f>'Fleet Data'!$D$13</f>
        <v>0</v>
      </c>
      <c r="F73" s="151">
        <f>($D73*0.124262)+($E73*0.1396)</f>
        <v>2465.0722774000001</v>
      </c>
      <c r="G73" s="178">
        <f>'Fleet Data'!$G$13</f>
        <v>54065</v>
      </c>
      <c r="H73" s="144"/>
    </row>
    <row r="74" spans="2:8">
      <c r="B74" s="72" t="s">
        <v>67</v>
      </c>
      <c r="C74" s="171">
        <f>('Fleet Data'!$L$11)</f>
        <v>56.9160496696</v>
      </c>
      <c r="D74" s="151">
        <f>'Fleet Data'!$C$11</f>
        <v>1603.41</v>
      </c>
      <c r="E74" s="151">
        <f>'Fleet Data'!$D$11</f>
        <v>4129.6000000000004</v>
      </c>
      <c r="F74" s="151">
        <f>+($D74*0.124262)+($E74*0.1396)</f>
        <v>775.73509342</v>
      </c>
      <c r="G74" s="178">
        <f>'Fleet Data'!$G$11</f>
        <v>19094.46</v>
      </c>
      <c r="H74" s="151"/>
    </row>
    <row r="75" spans="2:8">
      <c r="B75" s="72" t="s">
        <v>74</v>
      </c>
      <c r="C75" s="171">
        <f>'Fleet Data'!$L$12</f>
        <v>10.162186232</v>
      </c>
      <c r="D75" s="151">
        <f>'Fleet Data'!$C$12</f>
        <v>1143.7</v>
      </c>
      <c r="E75" s="151">
        <f>'Fleet Data'!$D$12</f>
        <v>0</v>
      </c>
      <c r="F75" s="151">
        <f>($D75*0.124262)+($E75*0.1396)</f>
        <v>142.1184494</v>
      </c>
      <c r="G75" s="178">
        <f>'Fleet Data'!$G$12</f>
        <v>3802.85</v>
      </c>
      <c r="H75" s="152"/>
    </row>
    <row r="76" spans="2:8">
      <c r="B76" s="79" t="s">
        <v>256</v>
      </c>
      <c r="C76" s="172">
        <f>SUM(C72:C75)</f>
        <v>595.1296711711999</v>
      </c>
      <c r="D76" s="179">
        <f>SUM(D72:D75)</f>
        <v>33466.97</v>
      </c>
      <c r="E76" s="179">
        <f>SUM(E72:E75)</f>
        <v>28818.1</v>
      </c>
      <c r="F76" s="179">
        <f>SUM(F72:F75)</f>
        <v>8181.679386140001</v>
      </c>
      <c r="G76" s="180">
        <f>SUM(G72:G75)</f>
        <v>202686.58000000002</v>
      </c>
    </row>
    <row r="77" spans="2:8">
      <c r="B77" s="107"/>
      <c r="C77" s="100"/>
      <c r="D77" s="93"/>
      <c r="E77" s="93"/>
      <c r="F77" s="93"/>
      <c r="G77" s="93"/>
    </row>
    <row r="78" spans="2:8">
      <c r="C78" s="4"/>
      <c r="D78" s="73"/>
      <c r="E78" s="73"/>
      <c r="F78" s="73"/>
    </row>
    <row r="81" spans="2:3" ht="75">
      <c r="B81" s="215" t="s">
        <v>426</v>
      </c>
      <c r="C81" s="82" t="s">
        <v>329</v>
      </c>
    </row>
    <row r="82" spans="2:3">
      <c r="B82" s="72" t="s">
        <v>260</v>
      </c>
      <c r="C82" s="171">
        <f>('Fleet Data'!$L$14)</f>
        <v>351.78632919760003</v>
      </c>
    </row>
    <row r="83" spans="2:3">
      <c r="B83" s="72" t="s">
        <v>68</v>
      </c>
      <c r="C83" s="171">
        <f>'Fleet Data'!$L$13</f>
        <v>176.26510607200001</v>
      </c>
    </row>
    <row r="84" spans="2:3">
      <c r="B84" s="72" t="s">
        <v>67</v>
      </c>
      <c r="C84" s="171">
        <f>('Fleet Data'!$L$11)</f>
        <v>56.9160496696</v>
      </c>
    </row>
    <row r="85" spans="2:3">
      <c r="B85" s="72" t="s">
        <v>74</v>
      </c>
      <c r="C85" s="171">
        <f>'Fleet Data'!$L$12</f>
        <v>10.162186232</v>
      </c>
    </row>
    <row r="86" spans="2:3">
      <c r="B86" s="79"/>
      <c r="C86" s="80"/>
    </row>
    <row r="88" spans="2:3">
      <c r="B88" s="185"/>
    </row>
    <row r="89" spans="2:3" ht="45">
      <c r="B89" s="215" t="s">
        <v>426</v>
      </c>
      <c r="C89" s="82" t="s">
        <v>300</v>
      </c>
    </row>
    <row r="90" spans="2:3">
      <c r="B90" s="72" t="s">
        <v>260</v>
      </c>
      <c r="C90" s="178">
        <f>'Fleet Data'!$G$14</f>
        <v>125724.27</v>
      </c>
    </row>
    <row r="91" spans="2:3">
      <c r="B91" s="72" t="s">
        <v>68</v>
      </c>
      <c r="C91" s="178">
        <f>'Fleet Data'!$G$13</f>
        <v>54065</v>
      </c>
    </row>
    <row r="92" spans="2:3">
      <c r="B92" s="72" t="s">
        <v>67</v>
      </c>
      <c r="C92" s="178">
        <f>'Fleet Data'!$G$11</f>
        <v>19094.46</v>
      </c>
    </row>
    <row r="93" spans="2:3">
      <c r="B93" s="94" t="s">
        <v>74</v>
      </c>
      <c r="C93" s="181">
        <f>'Fleet Data'!$G$12</f>
        <v>3802.85</v>
      </c>
    </row>
    <row r="94" spans="2:3">
      <c r="C94" s="93"/>
    </row>
    <row r="102" spans="1:6" ht="60">
      <c r="B102" s="242" t="s">
        <v>422</v>
      </c>
      <c r="C102" s="82" t="s">
        <v>281</v>
      </c>
      <c r="D102" s="106" t="s">
        <v>291</v>
      </c>
      <c r="E102" s="82" t="s">
        <v>286</v>
      </c>
      <c r="F102" s="106" t="s">
        <v>283</v>
      </c>
    </row>
    <row r="103" spans="1:6">
      <c r="B103" s="66" t="s">
        <v>323</v>
      </c>
      <c r="C103" s="156">
        <f>SUMIFS('Utility Accts'!$AB:$AB,'Utility Accts'!$E:$E,"Lighting District")</f>
        <v>276.27439955253971</v>
      </c>
      <c r="D103" s="156">
        <f>SUMIFS('Utility Accts'!$N:$N,'Utility Accts'!$E:$E,"Lighting District")</f>
        <v>968346</v>
      </c>
      <c r="E103" s="156">
        <f>($D103*0.003412)</f>
        <v>3303.9965520000001</v>
      </c>
      <c r="F103" s="158">
        <f>SUMIFS('Utility Accts'!$O:$O,'Utility Accts'!$E:$E,"Lighting District")</f>
        <v>373913.51999999996</v>
      </c>
    </row>
    <row r="104" spans="1:6">
      <c r="B104" s="66" t="s">
        <v>17</v>
      </c>
      <c r="C104" s="156">
        <f>SUMIFS('Utility Accts'!$AB:$AB,'Utility Accts'!$E:$E,"Traffic Signal")</f>
        <v>16.978242532082625</v>
      </c>
      <c r="D104" s="156">
        <f>SUMIFS('Utility Accts'!$N:$N,'Utility Accts'!$E:$E,"Traffic Signal")</f>
        <v>59509</v>
      </c>
      <c r="E104" s="156">
        <f>($D104*0.003412)</f>
        <v>203.04470800000001</v>
      </c>
      <c r="F104" s="158">
        <f>SUMIFS('Utility Accts'!$O:$O,'Utility Accts'!$E:$E,"Traffic Signal")</f>
        <v>13063.180000000004</v>
      </c>
    </row>
    <row r="105" spans="1:6">
      <c r="A105" t="s">
        <v>332</v>
      </c>
      <c r="B105" s="170" t="s">
        <v>423</v>
      </c>
      <c r="C105" s="157">
        <f>SUMIFS('Utility Accts'!$AB:$AB,'Utility Accts'!$E:$E,"Streetlights")</f>
        <v>5.6764374030535878</v>
      </c>
      <c r="D105" s="157">
        <f>SUMIFS('Utility Accts'!$N:$N,'Utility Accts'!$E:$E,"Streetlights")</f>
        <v>19896</v>
      </c>
      <c r="E105" s="157">
        <f>($D105*0.003412)</f>
        <v>67.885152000000005</v>
      </c>
      <c r="F105" s="159">
        <f>SUMIFS('Utility Accts'!$O:$O,'Utility Accts'!$E:$E,"Streetlights")</f>
        <v>3203.6499999999996</v>
      </c>
    </row>
    <row r="106" spans="1:6">
      <c r="B106" s="245" t="s">
        <v>368</v>
      </c>
      <c r="C106" s="168">
        <f t="shared" ref="C106:F106" si="1">SUM(C103:C105)</f>
        <v>298.92907948767589</v>
      </c>
      <c r="D106" s="168">
        <f t="shared" si="1"/>
        <v>1047751</v>
      </c>
      <c r="E106" s="168">
        <f t="shared" si="1"/>
        <v>3574.9264119999998</v>
      </c>
      <c r="F106" s="169">
        <f t="shared" si="1"/>
        <v>390180.35</v>
      </c>
    </row>
    <row r="107" spans="1:6">
      <c r="B107" s="66"/>
      <c r="C107" s="168"/>
      <c r="D107" s="168"/>
      <c r="E107" s="168"/>
      <c r="F107" s="169"/>
    </row>
    <row r="108" spans="1:6">
      <c r="A108" t="s">
        <v>332</v>
      </c>
      <c r="B108" s="66" t="s">
        <v>369</v>
      </c>
      <c r="C108" s="168"/>
      <c r="D108" s="168"/>
      <c r="E108" s="168"/>
      <c r="F108" s="169"/>
    </row>
    <row r="109" spans="1:6">
      <c r="B109" s="66"/>
      <c r="C109" s="168"/>
      <c r="D109" s="168"/>
      <c r="E109" s="168"/>
      <c r="F109" s="169"/>
    </row>
    <row r="110" spans="1:6">
      <c r="B110" s="66"/>
      <c r="C110" s="168"/>
      <c r="D110" s="168"/>
      <c r="E110" s="168"/>
      <c r="F110" s="169"/>
    </row>
    <row r="111" spans="1:6">
      <c r="B111" s="66"/>
      <c r="C111" s="168"/>
      <c r="D111" s="168"/>
      <c r="E111" s="168"/>
      <c r="F111" s="169"/>
    </row>
    <row r="112" spans="1:6">
      <c r="B112" s="66"/>
      <c r="C112" s="168"/>
      <c r="D112" s="168"/>
      <c r="E112" s="168"/>
      <c r="F112" s="169"/>
    </row>
    <row r="113" spans="2:9">
      <c r="B113" s="66"/>
      <c r="C113" s="168"/>
      <c r="D113" s="168"/>
      <c r="E113" s="168"/>
      <c r="F113" s="169"/>
    </row>
    <row r="115" spans="2:9" ht="45">
      <c r="B115" s="242" t="s">
        <v>422</v>
      </c>
      <c r="C115" s="106" t="s">
        <v>283</v>
      </c>
      <c r="D115" s="168"/>
      <c r="E115" s="168"/>
      <c r="F115" s="156"/>
      <c r="G115" s="158"/>
      <c r="H115" s="158"/>
      <c r="I115" s="158"/>
    </row>
    <row r="116" spans="2:9">
      <c r="B116" s="66" t="s">
        <v>323</v>
      </c>
      <c r="C116" s="158">
        <f>SUMIFS('Utility Accts'!$O:$O,'Utility Accts'!$E:$E,"Lighting District")</f>
        <v>373913.51999999996</v>
      </c>
      <c r="G116" s="199"/>
      <c r="H116" s="166"/>
    </row>
    <row r="117" spans="2:9">
      <c r="B117" s="66" t="s">
        <v>17</v>
      </c>
      <c r="C117" s="158">
        <f>SUMIFS('Utility Accts'!$O:$O,'Utility Accts'!$E:$E,"Traffic Signal")</f>
        <v>13063.180000000004</v>
      </c>
      <c r="G117" s="169"/>
      <c r="H117" s="169"/>
    </row>
    <row r="118" spans="2:9">
      <c r="B118" s="170" t="s">
        <v>423</v>
      </c>
      <c r="C118" s="159">
        <f>SUMIFS('Utility Accts'!$O:$O,'Utility Accts'!$E:$E,"Streetlights")</f>
        <v>3203.6499999999996</v>
      </c>
      <c r="G118" s="169"/>
      <c r="H118" s="169"/>
    </row>
    <row r="119" spans="2:9">
      <c r="B119" s="66"/>
      <c r="C119" s="169"/>
      <c r="G119" s="169"/>
      <c r="H119" s="169"/>
    </row>
    <row r="120" spans="2:9">
      <c r="B120" s="66"/>
      <c r="C120" s="169"/>
      <c r="G120" s="169"/>
      <c r="H120" s="169"/>
    </row>
    <row r="121" spans="2:9">
      <c r="B121" s="66"/>
      <c r="C121" s="169"/>
      <c r="G121" s="169"/>
      <c r="H121" s="169"/>
    </row>
    <row r="122" spans="2:9">
      <c r="B122" s="66"/>
      <c r="C122" s="169"/>
      <c r="G122" s="169"/>
      <c r="H122" s="169"/>
    </row>
    <row r="123" spans="2:9">
      <c r="B123" s="66"/>
      <c r="C123" s="169"/>
      <c r="G123" s="169"/>
      <c r="H123" s="169"/>
    </row>
    <row r="124" spans="2:9">
      <c r="B124" s="66"/>
      <c r="C124" s="169"/>
      <c r="G124" s="169"/>
      <c r="H124" s="169"/>
    </row>
    <row r="125" spans="2:9">
      <c r="B125" s="66"/>
      <c r="C125" s="169"/>
      <c r="G125" s="169"/>
      <c r="H125" s="169"/>
    </row>
    <row r="126" spans="2:9">
      <c r="B126" s="66"/>
      <c r="C126" s="169"/>
      <c r="G126" s="169"/>
      <c r="H126" s="169"/>
    </row>
    <row r="127" spans="2:9">
      <c r="H127" s="169"/>
    </row>
    <row r="128" spans="2:9">
      <c r="B128" s="66"/>
      <c r="C128" s="168"/>
      <c r="D128" s="168"/>
      <c r="E128" s="168"/>
      <c r="F128" s="169"/>
      <c r="H128" s="169"/>
    </row>
    <row r="132" spans="1:28">
      <c r="R132" s="306" t="s">
        <v>417</v>
      </c>
    </row>
    <row r="133" spans="1:28" ht="60">
      <c r="B133" s="256" t="s">
        <v>383</v>
      </c>
      <c r="C133" s="184" t="s">
        <v>374</v>
      </c>
      <c r="D133" s="95" t="s">
        <v>3</v>
      </c>
      <c r="E133" s="166" t="s">
        <v>281</v>
      </c>
      <c r="F133" s="199" t="s">
        <v>291</v>
      </c>
      <c r="G133" s="199" t="s">
        <v>299</v>
      </c>
      <c r="H133" s="246" t="s">
        <v>350</v>
      </c>
      <c r="I133" s="166" t="s">
        <v>286</v>
      </c>
      <c r="J133" s="199" t="s">
        <v>283</v>
      </c>
      <c r="K133" s="199" t="s">
        <v>284</v>
      </c>
      <c r="L133" s="199" t="s">
        <v>349</v>
      </c>
      <c r="M133" s="166" t="s">
        <v>285</v>
      </c>
      <c r="R133" s="277" t="s">
        <v>399</v>
      </c>
      <c r="S133" s="278" t="s">
        <v>390</v>
      </c>
      <c r="T133" s="279" t="s">
        <v>391</v>
      </c>
      <c r="U133" s="279" t="s">
        <v>392</v>
      </c>
      <c r="V133" s="280" t="s">
        <v>393</v>
      </c>
      <c r="W133" s="278" t="s">
        <v>394</v>
      </c>
      <c r="X133" s="279" t="s">
        <v>395</v>
      </c>
      <c r="Y133" s="279" t="s">
        <v>396</v>
      </c>
      <c r="Z133" s="279" t="s">
        <v>397</v>
      </c>
      <c r="AA133" s="281" t="s">
        <v>398</v>
      </c>
      <c r="AB133" s="261" t="s">
        <v>389</v>
      </c>
    </row>
    <row r="134" spans="1:28">
      <c r="A134">
        <v>1</v>
      </c>
      <c r="B134" s="247" t="s">
        <v>370</v>
      </c>
      <c r="C134" t="s">
        <v>250</v>
      </c>
      <c r="D134" s="248" t="s">
        <v>249</v>
      </c>
      <c r="E134" s="172">
        <f>SUMIFS('Utility Accts'!$AB:$AB,'Utility Accts'!$E:$E,"Pump Station")</f>
        <v>258.82228701892672</v>
      </c>
      <c r="F134" s="172">
        <f>SUMIFS('Utility Accts'!$N:$N,'Utility Accts'!$E:$E,"Pump Station")</f>
        <v>906643</v>
      </c>
      <c r="G134" s="172">
        <f>SUMIFS('Utility Accts'!$L:$L,'Utility Accts'!$E:$E,"Pump Station")</f>
        <v>10</v>
      </c>
      <c r="H134" s="172">
        <f>SUMIFS('Utility Accts'!$P:$P,'Utility Accts'!$E:$E,"Pump Station")</f>
        <v>17.5</v>
      </c>
      <c r="I134" s="179">
        <f>($F134*0.003412)+($G134*0.1)+($H134*0.0916)</f>
        <v>3096.0689160000002</v>
      </c>
      <c r="J134" s="249">
        <f>SUMIFS('Utility Accts'!$O:$O,'Utility Accts'!$E:$E,"Pump Station")</f>
        <v>87840.53</v>
      </c>
      <c r="K134" s="249">
        <f>SUMIFS('Utility Accts'!$M:$M,'Utility Accts'!$E:$E,"Pump Station")</f>
        <v>263.37</v>
      </c>
      <c r="L134" s="249">
        <f>SUMIFS('Utility Accts'!$Q:$Q,'Utility Accts'!$E:$E,"Pump Station")</f>
        <v>30.299999999999997</v>
      </c>
      <c r="M134" s="249">
        <f t="shared" ref="M134:M143" si="2">J134+K134+L134</f>
        <v>88134.2</v>
      </c>
      <c r="N134" t="s">
        <v>378</v>
      </c>
      <c r="R134" s="266" t="s">
        <v>370</v>
      </c>
      <c r="S134" s="262">
        <f>SUMIFS('Utility Accts'!$AB:$AB,'Utility Accts'!$E:$E,"Pump Station")</f>
        <v>258.82228701892672</v>
      </c>
      <c r="T134" s="262">
        <f>SUMIFS('Utility Accts'!$N:$N,'Utility Accts'!$E:$E,"Pump Station")</f>
        <v>906643</v>
      </c>
      <c r="U134" s="262">
        <f>SUMIFS('Utility Accts'!$L:$L,'Utility Accts'!$E:$E,"Pump Station")</f>
        <v>10</v>
      </c>
      <c r="V134" s="262">
        <f>SUMIFS('Utility Accts'!$P:$P,'Utility Accts'!$E:$E,"Pump Station")</f>
        <v>17.5</v>
      </c>
      <c r="W134" s="262">
        <f>($T134*0.003412)+($U134*0.1)+($V134*0.0916)</f>
        <v>3096.0689160000002</v>
      </c>
      <c r="X134" s="263">
        <f>SUMIFS('Utility Accts'!$O:$O,'Utility Accts'!$E:$E,"Pump Station")</f>
        <v>87840.53</v>
      </c>
      <c r="Y134" s="263">
        <f>SUMIFS('Utility Accts'!$M:$M,'Utility Accts'!$E:$E,"Pump Station")</f>
        <v>263.37</v>
      </c>
      <c r="Z134" s="263">
        <f>SUMIFS('Utility Accts'!$Q:$Q,'Utility Accts'!$E:$E,"Pump Station")</f>
        <v>30.299999999999997</v>
      </c>
      <c r="AA134" s="267">
        <f>X134+Y134+Z134</f>
        <v>88134.2</v>
      </c>
      <c r="AB134" s="258" t="s">
        <v>400</v>
      </c>
    </row>
    <row r="135" spans="1:28">
      <c r="A135">
        <v>2</v>
      </c>
      <c r="B135" s="66" t="s">
        <v>377</v>
      </c>
      <c r="C135" s="174" t="s">
        <v>375</v>
      </c>
      <c r="D135" s="63" t="s">
        <v>367</v>
      </c>
      <c r="E135" s="168">
        <f>SUMIFS('Utility Accts'!$AB:$AB,'Utility Accts'!$E:$E,"DPW")</f>
        <v>216.65654031974182</v>
      </c>
      <c r="F135" s="168">
        <f>SUMIFS('Utility Accts'!$N:$N,'Utility Accts'!$E:$E,"DPW")</f>
        <v>126020</v>
      </c>
      <c r="G135" s="168">
        <f>SUMIFS('Utility Accts'!$L:$L,'Utility Accts'!$E:$E,"DPW")</f>
        <v>33991</v>
      </c>
      <c r="H135" s="168">
        <f>SUMIFS('Utility Accts'!$P:$P,'Utility Accts'!$E:$E,"DPW")</f>
        <v>3.5</v>
      </c>
      <c r="I135" s="70">
        <f>($F135*0.003412)+($G135*0.1)+($H135*0.0916)</f>
        <v>3829.4008400000002</v>
      </c>
      <c r="J135" s="169">
        <f>SUMIFS('Utility Accts'!$O:$O,'Utility Accts'!$E:$E,"DPW")</f>
        <v>14555.07</v>
      </c>
      <c r="K135" s="169">
        <f>SUMIFS('Utility Accts'!$M:$M,'Utility Accts'!$E:$E,"DPW")</f>
        <v>24062.07</v>
      </c>
      <c r="L135" s="169">
        <f>SUMIFS('Utility Accts'!$Q:$Q,'Utility Accts'!$E:$E,"DPW")</f>
        <v>6.06</v>
      </c>
      <c r="M135" s="169">
        <f t="shared" si="2"/>
        <v>38623.199999999997</v>
      </c>
      <c r="R135" s="268" t="s">
        <v>400</v>
      </c>
      <c r="S135" s="259"/>
      <c r="T135" s="259"/>
      <c r="U135" s="259"/>
      <c r="V135" s="259"/>
      <c r="W135" s="304"/>
      <c r="X135" s="304"/>
      <c r="Y135" s="259"/>
      <c r="Z135" s="259"/>
      <c r="AA135" s="269"/>
    </row>
    <row r="136" spans="1:28">
      <c r="A136">
        <v>3</v>
      </c>
      <c r="B136" s="65" t="s">
        <v>7</v>
      </c>
      <c r="C136" t="s">
        <v>375</v>
      </c>
      <c r="D136" t="s">
        <v>367</v>
      </c>
      <c r="E136" s="156">
        <f>SUMIFS('Utility Accts'!$AB:$AB,'Utility Accts'!$E:$E,"City Hall")</f>
        <v>195.6829840809101</v>
      </c>
      <c r="F136" s="156">
        <f>SUMIFS('Utility Accts'!$N:$N,'Utility Accts'!$E:$E,"City Hall")</f>
        <v>266240</v>
      </c>
      <c r="G136" s="156">
        <f>SUMIFS('Utility Accts'!$L:$L,'Utility Accts'!$E:$E,"City Hall")</f>
        <v>22523</v>
      </c>
      <c r="H136" s="156">
        <f>SUMIFS('Utility Accts'!$P:$P,'Utility Accts'!$E:$E,"City Hall")</f>
        <v>0</v>
      </c>
      <c r="I136" s="151">
        <f>($F136*0.003412)+($G136*0.1)+($H136*0.0916)</f>
        <v>3160.7108800000001</v>
      </c>
      <c r="J136" s="158">
        <f>SUMIFS('Utility Accts'!$O:$O,'Utility Accts'!$E:$E,"City Hall")</f>
        <v>26335.49</v>
      </c>
      <c r="K136" s="158">
        <f>SUMIFS('Utility Accts'!$M:$M,'Utility Accts'!$E:$E,"City Hall")</f>
        <v>15788.99</v>
      </c>
      <c r="L136" s="158">
        <f>SUMIFS('Utility Accts'!$Q:$Q,'Utility Accts'!$E:$E,"City Hall")</f>
        <v>0</v>
      </c>
      <c r="M136" s="158">
        <f t="shared" si="2"/>
        <v>42124.480000000003</v>
      </c>
      <c r="R136" s="270" t="s">
        <v>371</v>
      </c>
      <c r="S136" s="264">
        <f>SUMIFS('Utility Accts'!$AB:$AB,'Utility Accts'!$E:$E,"Water Filtration")</f>
        <v>194.06511272544992</v>
      </c>
      <c r="T136" s="264">
        <f>SUMIFS('Utility Accts'!$N:$N,'Utility Accts'!$E:$E,"Water Filtration")</f>
        <v>468164</v>
      </c>
      <c r="U136" s="264">
        <f>SUMIFS('Utility Accts'!$L:$L,'Utility Accts'!$E:$E,"Water Filtration")</f>
        <v>11377</v>
      </c>
      <c r="V136" s="264">
        <f>SUMIFS('Utility Accts'!$P:$P,'Utility Accts'!$E:$E,"Water Filtration")</f>
        <v>3.5</v>
      </c>
      <c r="W136" s="264">
        <f>($T136*0.003412)+($U136*0.1)+($V136*0.0916)</f>
        <v>2735.3961680000002</v>
      </c>
      <c r="X136" s="265">
        <f>SUMIFS('Utility Accts'!$O:$O,'Utility Accts'!$E:$E,"Water Filtration")</f>
        <v>48445.82</v>
      </c>
      <c r="Y136" s="265">
        <f>SUMIFS('Utility Accts'!$M:$M,'Utility Accts'!$E:$E,"Water Filtration")</f>
        <v>8277.58</v>
      </c>
      <c r="Z136" s="265">
        <f>SUMIFS('Utility Accts'!$Q:$Q,'Utility Accts'!$E:$E,"Water Filtration")</f>
        <v>6.06</v>
      </c>
      <c r="AA136" s="271">
        <f>X136+Y136+Z136</f>
        <v>56729.46</v>
      </c>
      <c r="AB136" s="258" t="s">
        <v>384</v>
      </c>
    </row>
    <row r="137" spans="1:28">
      <c r="A137">
        <v>4</v>
      </c>
      <c r="B137" s="65" t="s">
        <v>371</v>
      </c>
      <c r="C137" t="s">
        <v>251</v>
      </c>
      <c r="D137" s="96" t="s">
        <v>373</v>
      </c>
      <c r="E137" s="156">
        <f>SUMIFS('Utility Accts'!$AB:$AB,'Utility Accts'!$E:$E,"Water Filtration")</f>
        <v>194.06511272544992</v>
      </c>
      <c r="F137" s="156">
        <f>SUMIFS('Utility Accts'!$N:$N,'Utility Accts'!$E:$E,"Water Filtration")</f>
        <v>468164</v>
      </c>
      <c r="G137" s="156">
        <f>SUMIFS('Utility Accts'!$L:$L,'Utility Accts'!$E:$E,"Water Filtration")</f>
        <v>11377</v>
      </c>
      <c r="H137" s="156">
        <f>SUMIFS('Utility Accts'!$P:$P,'Utility Accts'!$E:$E,"Water Filtration")</f>
        <v>3.5</v>
      </c>
      <c r="I137" s="151">
        <f t="shared" ref="I137:I143" si="3">($F137*0.003412)+($G137*0.1)+($H137*0.0916)</f>
        <v>2735.3961680000002</v>
      </c>
      <c r="J137" s="158">
        <f>SUMIFS('Utility Accts'!$O:$O,'Utility Accts'!$E:$E,"Water Filtration")</f>
        <v>48445.82</v>
      </c>
      <c r="K137" s="158">
        <f>SUMIFS('Utility Accts'!$M:$M,'Utility Accts'!$E:$E,"Water Filtration")</f>
        <v>8277.58</v>
      </c>
      <c r="L137" s="158">
        <f>SUMIFS('Utility Accts'!$Q:$Q,'Utility Accts'!$E:$E,"Water Filtration")</f>
        <v>6.06</v>
      </c>
      <c r="M137" s="158">
        <f t="shared" si="2"/>
        <v>56729.46</v>
      </c>
      <c r="R137" s="268" t="s">
        <v>386</v>
      </c>
      <c r="S137" s="259"/>
      <c r="T137" s="259"/>
      <c r="U137" s="259"/>
      <c r="V137" s="259"/>
      <c r="W137" s="304"/>
      <c r="X137" s="304"/>
      <c r="Y137" s="259"/>
      <c r="Z137" s="259"/>
      <c r="AA137" s="269"/>
    </row>
    <row r="138" spans="1:28">
      <c r="A138">
        <v>5</v>
      </c>
      <c r="B138" s="67" t="s">
        <v>81</v>
      </c>
      <c r="C138" t="s">
        <v>375</v>
      </c>
      <c r="D138" s="96" t="s">
        <v>245</v>
      </c>
      <c r="E138" s="156">
        <f>SUMIFS('Utility Accts'!$AB:$AB,'Utility Accts'!$E:$E,"Music Hall")</f>
        <v>142.86017920107773</v>
      </c>
      <c r="F138" s="156">
        <f>SUMIFS('Utility Accts'!$N:$N,'Utility Accts'!$E:$E,"Music Hall")</f>
        <v>209800</v>
      </c>
      <c r="G138" s="156">
        <f>SUMIFS('Utility Accts'!$L:$L,'Utility Accts'!$E:$E,"Music Hall")</f>
        <v>15615</v>
      </c>
      <c r="H138" s="156">
        <f>SUMIFS('Utility Accts'!$P:$P,'Utility Accts'!$E:$E,"Music Hall")</f>
        <v>0</v>
      </c>
      <c r="I138" s="151">
        <f>($F138*0.003412)+($G138*0.1)+($H138*0.0916)</f>
        <v>2277.3375999999998</v>
      </c>
      <c r="J138" s="158">
        <f>SUMIFS('Utility Accts'!$O:$O,'Utility Accts'!$E:$E,"Music Hall")</f>
        <v>23496.36</v>
      </c>
      <c r="K138" s="158">
        <f>SUMIFS('Utility Accts'!$M:$M,'Utility Accts'!$E:$E,"Music Hall")</f>
        <v>11112.51</v>
      </c>
      <c r="L138" s="158">
        <f>SUMIFS('Utility Accts'!$Q:$Q,'Utility Accts'!$E:$E,"Music Hall")</f>
        <v>0</v>
      </c>
      <c r="M138" s="158">
        <f t="shared" si="2"/>
        <v>34608.870000000003</v>
      </c>
      <c r="R138" s="270" t="s">
        <v>7</v>
      </c>
      <c r="S138" s="264">
        <f>SUMIFS('Utility Accts'!$AB:$AB,'Utility Accts'!$E:$E,"City Hall")</f>
        <v>195.6829840809101</v>
      </c>
      <c r="T138" s="264">
        <f>SUMIFS('Utility Accts'!$N:$N,'Utility Accts'!$E:$E,"City Hall")</f>
        <v>266240</v>
      </c>
      <c r="U138" s="264">
        <f>SUMIFS('Utility Accts'!$L:$L,'Utility Accts'!$E:$E,"City Hall")</f>
        <v>22523</v>
      </c>
      <c r="V138" s="264">
        <f>SUMIFS('Utility Accts'!$P:$P,'Utility Accts'!$E:$E,"City Hall")</f>
        <v>0</v>
      </c>
      <c r="W138" s="264">
        <f>($T138*0.003412)+($U138*0.1)+($V138*0.0916)</f>
        <v>3160.7108800000001</v>
      </c>
      <c r="X138" s="265">
        <f>SUMIFS('Utility Accts'!$O:$O,'Utility Accts'!$E:$E,"City Hall")</f>
        <v>26335.49</v>
      </c>
      <c r="Y138" s="265">
        <f>SUMIFS('Utility Accts'!$M:$M,'Utility Accts'!$E:$E,"City Hall")</f>
        <v>15788.99</v>
      </c>
      <c r="Z138" s="265">
        <f>SUMIFS('Utility Accts'!$Q:$Q,'Utility Accts'!$E:$E,"City Hall")</f>
        <v>0</v>
      </c>
      <c r="AA138" s="271">
        <f>X138+Y138+Z138</f>
        <v>42124.480000000003</v>
      </c>
      <c r="AB138" s="258" t="s">
        <v>386</v>
      </c>
    </row>
    <row r="139" spans="1:28">
      <c r="A139">
        <v>6</v>
      </c>
      <c r="B139" s="65" t="s">
        <v>365</v>
      </c>
      <c r="C139" t="s">
        <v>375</v>
      </c>
      <c r="D139" s="96" t="s">
        <v>16</v>
      </c>
      <c r="E139" s="156">
        <f>SUMIFS('Utility Accts'!$AB:$AB,'Utility Accts'!$E:$E,"Fire House")</f>
        <v>118.40625566035327</v>
      </c>
      <c r="F139" s="156">
        <f>SUMIFS('Utility Accts'!$N:$N,'Utility Accts'!$E:$E,"Fire House")</f>
        <v>114419</v>
      </c>
      <c r="G139" s="156">
        <f>SUMIFS('Utility Accts'!$L:$L,'Utility Accts'!$E:$E,"Fire House")</f>
        <v>16134</v>
      </c>
      <c r="H139" s="156">
        <f>SUMIFS('Utility Accts'!$P:$P,'Utility Accts'!$E:$E,"Fire House")</f>
        <v>0</v>
      </c>
      <c r="I139" s="151">
        <f t="shared" si="3"/>
        <v>2003.797628</v>
      </c>
      <c r="J139" s="158">
        <f>SUMIFS('Utility Accts'!$O:$O,'Utility Accts'!$E:$E,"Fire House")</f>
        <v>14322.79</v>
      </c>
      <c r="K139" s="158">
        <f>SUMIFS('Utility Accts'!$M:$M,'Utility Accts'!$E:$E,"Fire House")</f>
        <v>12607.31</v>
      </c>
      <c r="L139" s="158">
        <f>SUMIFS('Utility Accts'!$Q:$Q,'Utility Accts'!$E:$E,"Fire House")</f>
        <v>0</v>
      </c>
      <c r="M139" s="158">
        <f t="shared" si="2"/>
        <v>26930.1</v>
      </c>
      <c r="N139" t="s">
        <v>379</v>
      </c>
      <c r="R139" s="268" t="s">
        <v>384</v>
      </c>
      <c r="S139" s="259"/>
      <c r="T139" s="259"/>
      <c r="U139" s="259"/>
      <c r="V139" s="259"/>
      <c r="W139" s="304"/>
      <c r="X139" s="304"/>
      <c r="Y139" s="259"/>
      <c r="Z139" s="259"/>
      <c r="AA139" s="269"/>
    </row>
    <row r="140" spans="1:28" ht="14.1" customHeight="1">
      <c r="A140">
        <v>7</v>
      </c>
      <c r="B140" s="65" t="s">
        <v>61</v>
      </c>
      <c r="C140" t="s">
        <v>375</v>
      </c>
      <c r="D140" s="96" t="s">
        <v>366</v>
      </c>
      <c r="E140" s="156">
        <f>SUMIFS('Utility Accts'!$AB:$AB,'Utility Accts'!$E:$E,"Senior Center")</f>
        <v>98.670794515198097</v>
      </c>
      <c r="F140" s="156">
        <f>SUMIFS('Utility Accts'!$N:$N,'Utility Accts'!$E:$E,"Senior Center")</f>
        <v>156400</v>
      </c>
      <c r="G140" s="156">
        <f>SUMIFS('Utility Accts'!$L:$L,'Utility Accts'!$E:$E,"Senior Center")</f>
        <v>10168</v>
      </c>
      <c r="H140" s="156">
        <f>SUMIFS('Utility Accts'!$P:$P,'Utility Accts'!$E:$E,"Senior Center")</f>
        <v>0</v>
      </c>
      <c r="I140" s="151">
        <f t="shared" si="3"/>
        <v>1550.4367999999999</v>
      </c>
      <c r="J140" s="158">
        <f>SUMIFS('Utility Accts'!$O:$O,'Utility Accts'!$E:$E,"Senior Center")</f>
        <v>16909.330000000002</v>
      </c>
      <c r="K140" s="158">
        <f>SUMIFS('Utility Accts'!$M:$M,'Utility Accts'!$E:$E,"Senior Center")</f>
        <v>7514.98</v>
      </c>
      <c r="L140" s="158">
        <f>SUMIFS('Utility Accts'!$Q:$Q,'Utility Accts'!$E:$E,"Senior Center")</f>
        <v>0</v>
      </c>
      <c r="M140" s="158">
        <f t="shared" si="2"/>
        <v>24424.31</v>
      </c>
      <c r="R140" s="272" t="s">
        <v>377</v>
      </c>
      <c r="S140" s="264">
        <f>SUMIFS('Utility Accts'!$AB:$AB,'Utility Accts'!$E:$E,"DPW")</f>
        <v>216.65654031974182</v>
      </c>
      <c r="T140" s="264">
        <f>SUMIFS('Utility Accts'!$N:$N,'Utility Accts'!$E:$E,"DPW")</f>
        <v>126020</v>
      </c>
      <c r="U140" s="264">
        <f>SUMIFS('Utility Accts'!$L:$L,'Utility Accts'!$E:$E,"DPW")</f>
        <v>33991</v>
      </c>
      <c r="V140" s="264">
        <f>SUMIFS('Utility Accts'!$P:$P,'Utility Accts'!$E:$E,"DPW")</f>
        <v>3.5</v>
      </c>
      <c r="W140" s="264">
        <f>($T140*0.003412)+($U140*0.1)+($V140*0.0916)</f>
        <v>3829.4008400000002</v>
      </c>
      <c r="X140" s="265">
        <f>SUMIFS('Utility Accts'!$O:$O,'Utility Accts'!$E:$E,"DPW")</f>
        <v>14555.07</v>
      </c>
      <c r="Y140" s="265">
        <f>SUMIFS('Utility Accts'!$M:$M,'Utility Accts'!$E:$E,"DPW")</f>
        <v>24062.07</v>
      </c>
      <c r="Z140" s="265">
        <f>SUMIFS('Utility Accts'!$Q:$Q,'Utility Accts'!$E:$E,"DPW")</f>
        <v>6.06</v>
      </c>
      <c r="AA140" s="271">
        <f>X140+Y140+Z140</f>
        <v>38623.199999999997</v>
      </c>
      <c r="AB140" s="258" t="s">
        <v>385</v>
      </c>
    </row>
    <row r="141" spans="1:28">
      <c r="A141">
        <v>8</v>
      </c>
      <c r="B141" s="65" t="s">
        <v>76</v>
      </c>
      <c r="C141" t="s">
        <v>375</v>
      </c>
      <c r="D141" s="96" t="s">
        <v>366</v>
      </c>
      <c r="E141" s="168">
        <f>SUMIFS('Utility Accts'!$AB:$AB,'Utility Accts'!$E:$E,"Public Library")</f>
        <v>79.729482492725296</v>
      </c>
      <c r="F141" s="168">
        <f>SUMIFS('Utility Accts'!$N:$N,'Utility Accts'!$E:$E,"Public Library")</f>
        <v>117063</v>
      </c>
      <c r="G141" s="168">
        <f>SUMIFS('Utility Accts'!$L:$L,'Utility Accts'!$E:$E,"Public Library")</f>
        <v>8716</v>
      </c>
      <c r="H141" s="168">
        <f>SUMIFS('Utility Accts'!$P:$P,'Utility Accts'!$E:$E,"Public Library")</f>
        <v>0</v>
      </c>
      <c r="I141" s="151">
        <f t="shared" si="3"/>
        <v>1271.0189560000001</v>
      </c>
      <c r="J141" s="169">
        <f>SUMIFS('Utility Accts'!$O:$O,'Utility Accts'!$E:$E,"Public Library")</f>
        <v>14161.599999999999</v>
      </c>
      <c r="K141" s="169">
        <f>SUMIFS('Utility Accts'!$M:$M,'Utility Accts'!$E:$E,"Public Library")</f>
        <v>6465.53</v>
      </c>
      <c r="L141" s="169">
        <f>SUMIFS('Utility Accts'!$Q:$Q,'Utility Accts'!$E:$E,"Public Library")</f>
        <v>0</v>
      </c>
      <c r="M141" s="169">
        <f t="shared" si="2"/>
        <v>20627.129999999997</v>
      </c>
      <c r="R141" s="268" t="s">
        <v>384</v>
      </c>
      <c r="S141" s="259"/>
      <c r="T141" s="259"/>
      <c r="U141" s="259"/>
      <c r="V141" s="259"/>
      <c r="W141" s="304"/>
      <c r="X141" s="304"/>
      <c r="Y141" s="259"/>
      <c r="Z141" s="259"/>
      <c r="AA141" s="269"/>
    </row>
    <row r="142" spans="1:28">
      <c r="A142">
        <v>9</v>
      </c>
      <c r="B142" s="65" t="s">
        <v>372</v>
      </c>
      <c r="C142" t="s">
        <v>251</v>
      </c>
      <c r="D142" s="96" t="s">
        <v>249</v>
      </c>
      <c r="E142" s="168">
        <f>SUMIFS('Utility Accts'!$AB:$AB,'Utility Accts'!$E:$E,"Water Pump House")</f>
        <v>18.859748800000002</v>
      </c>
      <c r="F142" s="168">
        <f>SUMIFS('Utility Accts'!$N:$N,'Utility Accts'!$E:$E,"Water Pump House")</f>
        <v>0</v>
      </c>
      <c r="G142" s="168">
        <f>SUMIFS('Utility Accts'!$L:$L,'Utility Accts'!$E:$E,"Water Pump House")</f>
        <v>3548</v>
      </c>
      <c r="H142" s="168">
        <f>SUMIFS('Utility Accts'!$Q:$Q,'Utility Accts'!$E:$E,"Water Pump House")</f>
        <v>0</v>
      </c>
      <c r="I142" s="151">
        <f t="shared" si="3"/>
        <v>354.8</v>
      </c>
      <c r="J142" s="169">
        <f>SUMIFS('Utility Accts'!$O:$O,'Utility Accts'!$E:$E,"Water Pump House")</f>
        <v>0</v>
      </c>
      <c r="K142" s="169">
        <f>SUMIFS('Utility Accts'!$M:$M,'Utility Accts'!$E:$E,"Water Pump House")</f>
        <v>2930.75</v>
      </c>
      <c r="L142" s="169">
        <f>SUMIFS('Utility Accts'!$Q:$Q,'Utility Accts'!$E:$E,"Water Pump House")</f>
        <v>0</v>
      </c>
      <c r="M142" s="169">
        <f t="shared" si="2"/>
        <v>2930.75</v>
      </c>
      <c r="R142" s="273" t="s">
        <v>81</v>
      </c>
      <c r="S142" s="264">
        <f>SUMIFS('Utility Accts'!$AB:$AB,'Utility Accts'!$E:$E,"Music Hall")</f>
        <v>142.86017920107773</v>
      </c>
      <c r="T142" s="264">
        <f>SUMIFS('Utility Accts'!$N:$N,'Utility Accts'!$E:$E,"Music Hall")</f>
        <v>209800</v>
      </c>
      <c r="U142" s="264">
        <f>SUMIFS('Utility Accts'!$L:$L,'Utility Accts'!$E:$E,"Music Hall")</f>
        <v>15615</v>
      </c>
      <c r="V142" s="264">
        <f>SUMIFS('Utility Accts'!$P:$P,'Utility Accts'!$E:$E,"Music Hall")</f>
        <v>0</v>
      </c>
      <c r="W142" s="264">
        <f>($T142*0.003412)+($U142*0.1)+($V142*0.0916)</f>
        <v>2277.3375999999998</v>
      </c>
      <c r="X142" s="265">
        <f>SUMIFS('Utility Accts'!$O:$O,'Utility Accts'!$E:$E,"Music Hall")</f>
        <v>23496.36</v>
      </c>
      <c r="Y142" s="265">
        <f>SUMIFS('Utility Accts'!$M:$M,'Utility Accts'!$E:$E,"Music Hall")</f>
        <v>11112.51</v>
      </c>
      <c r="Z142" s="265">
        <f>SUMIFS('Utility Accts'!$Q:$Q,'Utility Accts'!$E:$E,"Music Hall")</f>
        <v>0</v>
      </c>
      <c r="AA142" s="271">
        <f>X142+Y142+Z142</f>
        <v>34608.870000000003</v>
      </c>
      <c r="AB142" s="258" t="s">
        <v>387</v>
      </c>
    </row>
    <row r="143" spans="1:28">
      <c r="A143">
        <v>10</v>
      </c>
      <c r="B143" s="183" t="s">
        <v>380</v>
      </c>
      <c r="C143" s="255" t="s">
        <v>375</v>
      </c>
      <c r="D143" s="81" t="s">
        <v>15</v>
      </c>
      <c r="E143" s="157">
        <f>SUMIFS('Utility Accts'!$AB:$AB,'Utility Accts'!$E:$E,"Parks/Rec. Facilities")</f>
        <v>16.954562179024048</v>
      </c>
      <c r="F143" s="157">
        <f>SUMIFS('Utility Accts'!$N:$N,'Utility Accts'!$E:$E,"Parks/Rec. Facilities")</f>
        <v>59426</v>
      </c>
      <c r="G143" s="157">
        <f>SUMIFS('Utility Accts'!$L:$L,'Utility Accts'!$E:$E,"Parks/Rec. Facilities")</f>
        <v>0</v>
      </c>
      <c r="H143" s="157">
        <f>SUMIFS('Utility Accts'!$L:$L,'Utility Accts'!$E:$E,"Parks/Rec. Facilities")</f>
        <v>0</v>
      </c>
      <c r="I143" s="152">
        <f t="shared" si="3"/>
        <v>202.76151200000001</v>
      </c>
      <c r="J143" s="159">
        <f>SUMIFS('Utility Accts'!$O:$O,'Utility Accts'!$E:$E,"Parks/Rec. Facilities")</f>
        <v>9925.9399999999987</v>
      </c>
      <c r="K143" s="159">
        <f>SUMIFS('Utility Accts'!$M:$M,'Utility Accts'!$E:$E,"Parks/Rec. Facilities")</f>
        <v>0</v>
      </c>
      <c r="L143" s="159">
        <f>SUMIFS('Utility Accts'!$Q:$Q,'Utility Accts'!$E:$E,"Parks/Rec. Facilities")</f>
        <v>0</v>
      </c>
      <c r="M143" s="159">
        <f t="shared" si="2"/>
        <v>9925.9399999999987</v>
      </c>
      <c r="R143" s="268" t="s">
        <v>385</v>
      </c>
      <c r="S143" s="259"/>
      <c r="T143" s="259"/>
      <c r="U143" s="259"/>
      <c r="V143" s="259"/>
      <c r="W143" s="304"/>
      <c r="X143" s="304"/>
      <c r="Y143" s="259"/>
      <c r="Z143" s="259"/>
      <c r="AA143" s="269"/>
    </row>
    <row r="144" spans="1:28">
      <c r="B144" s="234"/>
      <c r="D144" s="73"/>
      <c r="E144" s="156"/>
      <c r="M144" s="198"/>
      <c r="R144" s="270" t="s">
        <v>365</v>
      </c>
      <c r="S144" s="264">
        <f>SUMIFS('Utility Accts'!$AB:$AB,'Utility Accts'!$E:$E,"Fire House")</f>
        <v>118.40625566035327</v>
      </c>
      <c r="T144" s="264">
        <f>SUMIFS('Utility Accts'!$N:$N,'Utility Accts'!$E:$E,"Fire House")</f>
        <v>114419</v>
      </c>
      <c r="U144" s="264">
        <f>SUMIFS('Utility Accts'!$L:$L,'Utility Accts'!$E:$E,"Fire House")</f>
        <v>16134</v>
      </c>
      <c r="V144" s="264">
        <f>SUMIFS('Utility Accts'!$P:$P,'Utility Accts'!$E:$E,"Fire House")</f>
        <v>0</v>
      </c>
      <c r="W144" s="264">
        <f>($T144*0.003412)+($U144*0.1)+($V144*0.0916)</f>
        <v>2003.797628</v>
      </c>
      <c r="X144" s="265">
        <f>SUMIFS('Utility Accts'!$O:$O,'Utility Accts'!$E:$E,"Fire House")</f>
        <v>14322.79</v>
      </c>
      <c r="Y144" s="265">
        <f>SUMIFS('Utility Accts'!$M:$M,'Utility Accts'!$E:$E,"Fire House")</f>
        <v>12607.31</v>
      </c>
      <c r="Z144" s="265">
        <f>SUMIFS('Utility Accts'!$Q:$Q,'Utility Accts'!$E:$E,"Fire House")</f>
        <v>0</v>
      </c>
      <c r="AA144" s="271">
        <f>X144+Y144+Z144</f>
        <v>26930.1</v>
      </c>
      <c r="AB144" s="258" t="s">
        <v>385</v>
      </c>
    </row>
    <row r="145" spans="2:28">
      <c r="R145" s="268" t="s">
        <v>387</v>
      </c>
      <c r="S145" s="259"/>
      <c r="T145" s="259"/>
      <c r="U145" s="259"/>
      <c r="V145" s="259"/>
      <c r="W145" s="304"/>
      <c r="X145" s="304"/>
      <c r="Y145" s="259"/>
      <c r="Z145" s="259"/>
      <c r="AA145" s="269"/>
    </row>
    <row r="146" spans="2:28">
      <c r="B146" s="251"/>
      <c r="C146" s="252"/>
      <c r="D146" s="252"/>
      <c r="E146" s="252"/>
      <c r="F146" s="253"/>
      <c r="G146" s="252"/>
      <c r="H146" s="252"/>
      <c r="I146" s="252"/>
      <c r="J146" s="252"/>
      <c r="K146" s="252"/>
      <c r="L146" s="96"/>
      <c r="R146" s="270" t="s">
        <v>61</v>
      </c>
      <c r="S146" s="264">
        <f>SUMIFS('Utility Accts'!$AB:$AB,'Utility Accts'!$E:$E,"Senior Center")</f>
        <v>98.670794515198097</v>
      </c>
      <c r="T146" s="264">
        <f>SUMIFS('Utility Accts'!$N:$N,'Utility Accts'!$E:$E,"Senior Center")</f>
        <v>156400</v>
      </c>
      <c r="U146" s="264">
        <f>SUMIFS('Utility Accts'!$L:$L,'Utility Accts'!$E:$E,"Senior Center")</f>
        <v>10168</v>
      </c>
      <c r="V146" s="264">
        <f>SUMIFS('Utility Accts'!$P:$P,'Utility Accts'!$E:$E,"Senior Center")</f>
        <v>0</v>
      </c>
      <c r="W146" s="264">
        <f>($T146*0.003412)+($U146*0.1)+($V146*0.0916)</f>
        <v>1550.4367999999999</v>
      </c>
      <c r="X146" s="265">
        <f>SUMIFS('Utility Accts'!$O:$O,'Utility Accts'!$E:$E,"Senior Center")</f>
        <v>16909.330000000002</v>
      </c>
      <c r="Y146" s="265">
        <f>SUMIFS('Utility Accts'!$M:$M,'Utility Accts'!$E:$E,"Senior Center")</f>
        <v>7514.98</v>
      </c>
      <c r="Z146" s="265">
        <f>SUMIFS('Utility Accts'!$Q:$Q,'Utility Accts'!$E:$E,"Senior Center")</f>
        <v>0</v>
      </c>
      <c r="AA146" s="271">
        <f>X146+Y146+Z146</f>
        <v>24424.31</v>
      </c>
      <c r="AB146" s="258" t="s">
        <v>385</v>
      </c>
    </row>
    <row r="147" spans="2:28">
      <c r="B147" s="65"/>
      <c r="C147" s="70"/>
      <c r="D147" s="70"/>
      <c r="E147" s="70"/>
      <c r="F147" s="70"/>
      <c r="G147" s="70"/>
      <c r="H147" s="250"/>
      <c r="I147" s="250"/>
      <c r="J147" s="250"/>
      <c r="K147" s="250"/>
      <c r="L147" s="96"/>
      <c r="R147" s="268" t="s">
        <v>385</v>
      </c>
      <c r="S147" s="259"/>
      <c r="T147" s="259"/>
      <c r="U147" s="259"/>
      <c r="V147" s="259"/>
      <c r="W147" s="304"/>
      <c r="X147" s="304"/>
      <c r="Y147" s="259"/>
      <c r="Z147" s="259"/>
      <c r="AA147" s="269"/>
    </row>
    <row r="148" spans="2:28">
      <c r="B148" s="254"/>
      <c r="C148" s="70"/>
      <c r="D148" s="70"/>
      <c r="E148" s="70"/>
      <c r="F148" s="96"/>
      <c r="G148" s="70"/>
      <c r="H148" s="250"/>
      <c r="I148" s="250"/>
      <c r="J148" s="96"/>
      <c r="K148" s="96"/>
      <c r="L148" s="96"/>
      <c r="R148" s="270" t="s">
        <v>76</v>
      </c>
      <c r="S148" s="264">
        <f>SUMIFS('Utility Accts'!$AB:$AB,'Utility Accts'!$E:$E,"Public Library")</f>
        <v>79.729482492725296</v>
      </c>
      <c r="T148" s="264">
        <f>SUMIFS('Utility Accts'!$N:$N,'Utility Accts'!$E:$E,"Public Library")</f>
        <v>117063</v>
      </c>
      <c r="U148" s="264">
        <f>SUMIFS('Utility Accts'!$L:$L,'Utility Accts'!$E:$E,"Public Library")</f>
        <v>8716</v>
      </c>
      <c r="V148" s="264">
        <f>SUMIFS('Utility Accts'!$P:$P,'Utility Accts'!$E:$E,"Public Library")</f>
        <v>0</v>
      </c>
      <c r="W148" s="264">
        <f>($T148*0.003412)+($U148*0.1)+($V148*0.0916)</f>
        <v>1271.0189560000001</v>
      </c>
      <c r="X148" s="265">
        <f>SUMIFS('Utility Accts'!$O:$O,'Utility Accts'!$E:$E,"Public Library")</f>
        <v>14161.599999999999</v>
      </c>
      <c r="Y148" s="265">
        <f>SUMIFS('Utility Accts'!$M:$M,'Utility Accts'!$E:$E,"Public Library")</f>
        <v>6465.53</v>
      </c>
      <c r="Z148" s="265">
        <f>SUMIFS('Utility Accts'!$Q:$Q,'Utility Accts'!$E:$E,"Public Library")</f>
        <v>0</v>
      </c>
      <c r="AA148" s="271">
        <f>X148+Y148+Z148</f>
        <v>20627.129999999997</v>
      </c>
      <c r="AB148" s="258" t="s">
        <v>385</v>
      </c>
    </row>
    <row r="149" spans="2:28">
      <c r="B149" s="65"/>
      <c r="C149" s="70"/>
      <c r="D149" s="70"/>
      <c r="E149" s="70"/>
      <c r="F149" s="96"/>
      <c r="G149" s="96"/>
      <c r="H149" s="96"/>
      <c r="I149" s="96"/>
      <c r="J149" s="96"/>
      <c r="K149" s="96"/>
      <c r="L149" s="96"/>
      <c r="R149" s="268" t="s">
        <v>385</v>
      </c>
      <c r="S149" s="259"/>
      <c r="T149" s="259"/>
      <c r="U149" s="259"/>
      <c r="V149" s="259"/>
      <c r="W149" s="304"/>
      <c r="X149" s="304"/>
      <c r="Y149" s="259"/>
      <c r="Z149" s="259"/>
      <c r="AA149" s="269"/>
    </row>
    <row r="150" spans="2:28">
      <c r="B150" s="251"/>
      <c r="C150" s="166"/>
      <c r="D150" s="252"/>
      <c r="E150" s="252"/>
      <c r="F150" s="253"/>
      <c r="G150" s="166"/>
      <c r="H150" s="252"/>
      <c r="I150" s="252"/>
      <c r="J150" s="252"/>
      <c r="K150" s="166"/>
      <c r="L150" s="96"/>
      <c r="R150" s="270" t="s">
        <v>380</v>
      </c>
      <c r="S150" s="264">
        <f>SUMIFS('Utility Accts'!$AB:$AB,'Utility Accts'!$E:$E,"Parks/Rec. Facilities")</f>
        <v>16.954562179024048</v>
      </c>
      <c r="T150" s="264">
        <f>SUMIFS('Utility Accts'!$N:$N,'Utility Accts'!$E:$E,"Parks/Rec. Facilities")</f>
        <v>59426</v>
      </c>
      <c r="U150" s="264">
        <f>SUMIFS('Utility Accts'!$L:$L,'Utility Accts'!$E:$E,"Parks/Rec. Facilities")</f>
        <v>0</v>
      </c>
      <c r="V150" s="264">
        <f>SUMIFS('Utility Accts'!$L:$L,'Utility Accts'!$E:$E,"Parks/Rec. Facilities")</f>
        <v>0</v>
      </c>
      <c r="W150" s="264">
        <f>($T150*0.003412)+($U150*0.1)+($V150*0.0916)</f>
        <v>202.76151200000001</v>
      </c>
      <c r="X150" s="265">
        <f>SUMIFS('Utility Accts'!$O:$O,'Utility Accts'!$E:$E,"Parks/Rec. Facilities")</f>
        <v>9925.9399999999987</v>
      </c>
      <c r="Y150" s="265">
        <f>SUMIFS('Utility Accts'!$M:$M,'Utility Accts'!$E:$E,"Parks/Rec. Facilities")</f>
        <v>0</v>
      </c>
      <c r="Z150" s="265">
        <f>SUMIFS('Utility Accts'!$Q:$Q,'Utility Accts'!$E:$E,"Parks/Rec. Facilities")</f>
        <v>0</v>
      </c>
      <c r="AA150" s="271">
        <f>X150+Y150+Z150</f>
        <v>9925.9399999999987</v>
      </c>
      <c r="AB150" s="258" t="s">
        <v>388</v>
      </c>
    </row>
    <row r="151" spans="2:28">
      <c r="B151" s="65"/>
      <c r="C151" s="70"/>
      <c r="D151" s="70"/>
      <c r="E151" s="70"/>
      <c r="F151" s="70"/>
      <c r="G151" s="70"/>
      <c r="H151" s="250"/>
      <c r="I151" s="250"/>
      <c r="J151" s="250"/>
      <c r="K151" s="250"/>
      <c r="L151" s="96"/>
      <c r="R151" s="274" t="s">
        <v>388</v>
      </c>
      <c r="S151" s="63"/>
      <c r="T151" s="63"/>
      <c r="U151" s="63"/>
      <c r="V151" s="63"/>
      <c r="W151" s="304"/>
      <c r="X151" s="304"/>
      <c r="Y151" s="63"/>
      <c r="Z151" s="63"/>
      <c r="AA151" s="84"/>
    </row>
    <row r="152" spans="2:28">
      <c r="B152" s="65"/>
      <c r="C152" s="70"/>
      <c r="D152" s="70"/>
      <c r="E152" s="70"/>
      <c r="F152" s="70"/>
      <c r="G152" s="70"/>
      <c r="H152" s="250"/>
      <c r="I152" s="250"/>
      <c r="J152" s="250"/>
      <c r="K152" s="250"/>
      <c r="L152" s="96"/>
      <c r="R152" s="270" t="s">
        <v>372</v>
      </c>
      <c r="S152" s="264">
        <f>SUMIFS('Utility Accts'!$AB:$AB,'Utility Accts'!$E:$E,"Water Pump House")</f>
        <v>18.859748800000002</v>
      </c>
      <c r="T152" s="264">
        <f>SUMIFS('Utility Accts'!$N:$N,'Utility Accts'!$E:$E,"Water Pump House")</f>
        <v>0</v>
      </c>
      <c r="U152" s="264">
        <f>SUMIFS('Utility Accts'!$L:$L,'Utility Accts'!$E:$E,"Water Pump House")</f>
        <v>3548</v>
      </c>
      <c r="V152" s="264">
        <f>SUMIFS('Utility Accts'!$Q:$Q,'Utility Accts'!$E:$E,"Water Pump House")</f>
        <v>0</v>
      </c>
      <c r="W152" s="264">
        <f>($T152*0.003412)+($U152*0.1)+($V152*0.0916)</f>
        <v>354.8</v>
      </c>
      <c r="X152" s="265">
        <f>SUMIFS('Utility Accts'!$O:$O,'Utility Accts'!$E:$E,"Water Pump House")</f>
        <v>0</v>
      </c>
      <c r="Y152" s="265">
        <f>SUMIFS('Utility Accts'!$M:$M,'Utility Accts'!$E:$E,"Water Pump House")</f>
        <v>2930.75</v>
      </c>
      <c r="Z152" s="265">
        <f>SUMIFS('Utility Accts'!$Q:$Q,'Utility Accts'!$E:$E,"Water Pump House")</f>
        <v>0</v>
      </c>
      <c r="AA152" s="271">
        <f>X152+Y152+Z152</f>
        <v>2930.75</v>
      </c>
      <c r="AB152" s="258" t="s">
        <v>401</v>
      </c>
    </row>
    <row r="153" spans="2:28">
      <c r="B153" s="65"/>
      <c r="C153" s="168"/>
      <c r="D153" s="168"/>
      <c r="E153" s="168"/>
      <c r="R153" s="275" t="s">
        <v>401</v>
      </c>
      <c r="S153" s="260"/>
      <c r="T153" s="260"/>
      <c r="U153" s="260"/>
      <c r="V153" s="260"/>
      <c r="W153" s="260"/>
      <c r="X153" s="260"/>
      <c r="Y153" s="260"/>
      <c r="Z153" s="260"/>
      <c r="AA153" s="276"/>
    </row>
    <row r="163" spans="1:29" ht="60">
      <c r="B163" s="256" t="s">
        <v>383</v>
      </c>
      <c r="C163" s="106" t="s">
        <v>283</v>
      </c>
      <c r="D163" s="106" t="s">
        <v>284</v>
      </c>
      <c r="E163" s="106" t="s">
        <v>349</v>
      </c>
      <c r="F163" s="82" t="s">
        <v>285</v>
      </c>
    </row>
    <row r="164" spans="1:29">
      <c r="A164">
        <v>1</v>
      </c>
      <c r="B164" s="247" t="s">
        <v>370</v>
      </c>
      <c r="C164" s="249">
        <f>SUMIFS('Utility Accts'!$O:$O,'Utility Accts'!$E:$E,"Pump Station")</f>
        <v>87840.53</v>
      </c>
      <c r="D164" s="249">
        <f>SUMIFS('Utility Accts'!$M:$M,'Utility Accts'!$E:$E,"Pump Station")</f>
        <v>263.37</v>
      </c>
      <c r="E164" s="249">
        <f>SUMIFS('Utility Accts'!$Q:$Q,'Utility Accts'!$E:$E,"Pump Station")</f>
        <v>30.299999999999997</v>
      </c>
      <c r="F164" s="249">
        <f t="shared" ref="F164:F173" si="4">C164+D164+E164</f>
        <v>88134.2</v>
      </c>
      <c r="AC164" s="305"/>
    </row>
    <row r="165" spans="1:29">
      <c r="A165">
        <v>2</v>
      </c>
      <c r="B165" s="65" t="s">
        <v>371</v>
      </c>
      <c r="C165" s="158">
        <f>SUMIFS('Utility Accts'!$O:$O,'Utility Accts'!$E:$E,"Water Filtration")</f>
        <v>48445.82</v>
      </c>
      <c r="D165" s="158">
        <f>SUMIFS('Utility Accts'!$M:$M,'Utility Accts'!$E:$E,"Water Filtration")</f>
        <v>8277.58</v>
      </c>
      <c r="E165" s="158">
        <f>SUMIFS('Utility Accts'!$Q:$Q,'Utility Accts'!$E:$E,"Water Filtration")</f>
        <v>6.06</v>
      </c>
      <c r="F165" s="158">
        <f t="shared" si="4"/>
        <v>56729.46</v>
      </c>
      <c r="AC165" s="305"/>
    </row>
    <row r="166" spans="1:29">
      <c r="A166">
        <v>3</v>
      </c>
      <c r="B166" s="65" t="s">
        <v>7</v>
      </c>
      <c r="C166" s="158">
        <f>SUMIFS('Utility Accts'!$O:$O,'Utility Accts'!$E:$E,"City Hall")</f>
        <v>26335.49</v>
      </c>
      <c r="D166" s="158">
        <f>SUMIFS('Utility Accts'!$M:$M,'Utility Accts'!$E:$E,"City Hall")</f>
        <v>15788.99</v>
      </c>
      <c r="E166" s="158">
        <f>SUMIFS('Utility Accts'!$Q:$Q,'Utility Accts'!$E:$E,"City Hall")</f>
        <v>0</v>
      </c>
      <c r="F166" s="158">
        <f t="shared" si="4"/>
        <v>42124.480000000003</v>
      </c>
      <c r="AC166" s="305"/>
    </row>
    <row r="167" spans="1:29">
      <c r="A167">
        <v>4</v>
      </c>
      <c r="B167" s="66" t="s">
        <v>377</v>
      </c>
      <c r="C167" s="169">
        <f>SUMIFS('Utility Accts'!$O:$O,'Utility Accts'!$E:$E,"DPW")</f>
        <v>14555.07</v>
      </c>
      <c r="D167" s="169">
        <f>SUMIFS('Utility Accts'!$M:$M,'Utility Accts'!$E:$E,"DPW")</f>
        <v>24062.07</v>
      </c>
      <c r="E167" s="169">
        <f>SUMIFS('Utility Accts'!$Q:$Q,'Utility Accts'!$E:$E,"DPW")</f>
        <v>6.06</v>
      </c>
      <c r="F167" s="169">
        <f t="shared" si="4"/>
        <v>38623.199999999997</v>
      </c>
      <c r="AC167" s="305"/>
    </row>
    <row r="168" spans="1:29">
      <c r="A168">
        <v>5</v>
      </c>
      <c r="B168" s="67" t="s">
        <v>81</v>
      </c>
      <c r="C168" s="158">
        <f>SUMIFS('Utility Accts'!$O:$O,'Utility Accts'!$E:$E,"Music Hall")</f>
        <v>23496.36</v>
      </c>
      <c r="D168" s="158">
        <f>SUMIFS('Utility Accts'!$M:$M,'Utility Accts'!$E:$E,"Music Hall")</f>
        <v>11112.51</v>
      </c>
      <c r="E168" s="158">
        <f>SUMIFS('Utility Accts'!$Q:$Q,'Utility Accts'!$E:$E,"Music Hall")</f>
        <v>0</v>
      </c>
      <c r="F168" s="158">
        <f t="shared" si="4"/>
        <v>34608.870000000003</v>
      </c>
      <c r="AC168" s="305"/>
    </row>
    <row r="169" spans="1:29">
      <c r="A169">
        <v>6</v>
      </c>
      <c r="B169" s="65" t="s">
        <v>365</v>
      </c>
      <c r="C169" s="158">
        <f>SUMIFS('Utility Accts'!$O:$O,'Utility Accts'!$E:$E,"Fire House")</f>
        <v>14322.79</v>
      </c>
      <c r="D169" s="158">
        <f>SUMIFS('Utility Accts'!$M:$M,'Utility Accts'!$E:$E,"Fire House")</f>
        <v>12607.31</v>
      </c>
      <c r="E169" s="158">
        <f>SUMIFS('Utility Accts'!$Q:$Q,'Utility Accts'!$E:$E,"Fire House")</f>
        <v>0</v>
      </c>
      <c r="F169" s="158">
        <f t="shared" si="4"/>
        <v>26930.1</v>
      </c>
      <c r="AC169" s="305"/>
    </row>
    <row r="170" spans="1:29">
      <c r="A170">
        <v>7</v>
      </c>
      <c r="B170" s="65" t="s">
        <v>61</v>
      </c>
      <c r="C170" s="158">
        <f>SUMIFS('Utility Accts'!$O:$O,'Utility Accts'!$E:$E,"Senior Center")</f>
        <v>16909.330000000002</v>
      </c>
      <c r="D170" s="158">
        <f>SUMIFS('Utility Accts'!$M:$M,'Utility Accts'!$E:$E,"Senior Center")</f>
        <v>7514.98</v>
      </c>
      <c r="E170" s="158">
        <f>SUMIFS('Utility Accts'!$Q:$Q,'Utility Accts'!$E:$E,"Senior Center")</f>
        <v>0</v>
      </c>
      <c r="F170" s="158">
        <f t="shared" si="4"/>
        <v>24424.31</v>
      </c>
      <c r="AC170" s="305"/>
    </row>
    <row r="171" spans="1:29">
      <c r="A171">
        <v>8</v>
      </c>
      <c r="B171" s="65" t="s">
        <v>76</v>
      </c>
      <c r="C171" s="169">
        <f>SUMIFS('Utility Accts'!$O:$O,'Utility Accts'!$E:$E,"Public Library")</f>
        <v>14161.599999999999</v>
      </c>
      <c r="D171" s="169">
        <f>SUMIFS('Utility Accts'!$M:$M,'Utility Accts'!$E:$E,"Public Library")</f>
        <v>6465.53</v>
      </c>
      <c r="E171" s="169">
        <f>SUMIFS('Utility Accts'!$Q:$Q,'Utility Accts'!$E:$E,"Public Library")</f>
        <v>0</v>
      </c>
      <c r="F171" s="169">
        <f t="shared" si="4"/>
        <v>20627.129999999997</v>
      </c>
      <c r="AC171" s="305"/>
    </row>
    <row r="172" spans="1:29">
      <c r="A172">
        <v>9</v>
      </c>
      <c r="B172" s="65" t="s">
        <v>380</v>
      </c>
      <c r="C172" s="169">
        <f>SUMIFS('Utility Accts'!$O:$O,'Utility Accts'!$E:$E,"Parks/Rec. Facilities")</f>
        <v>9925.9399999999987</v>
      </c>
      <c r="D172" s="169">
        <f>SUMIFS('Utility Accts'!$M:$M,'Utility Accts'!$E:$E,"Parks/Rec. Facilities")</f>
        <v>0</v>
      </c>
      <c r="E172" s="169">
        <f>SUMIFS('Utility Accts'!$Q:$Q,'Utility Accts'!$E:$E,"Parks/Rec. Facilities")</f>
        <v>0</v>
      </c>
      <c r="F172" s="169">
        <f t="shared" si="4"/>
        <v>9925.9399999999987</v>
      </c>
      <c r="AC172" s="305"/>
    </row>
    <row r="173" spans="1:29">
      <c r="A173">
        <v>10</v>
      </c>
      <c r="B173" s="183" t="s">
        <v>372</v>
      </c>
      <c r="C173" s="159">
        <f>SUMIFS('Utility Accts'!$O:$O,'Utility Accts'!$E:$E,"Water Pump House")</f>
        <v>0</v>
      </c>
      <c r="D173" s="159">
        <f>SUMIFS('Utility Accts'!$M:$M,'Utility Accts'!$E:$E,"Water Pump House")</f>
        <v>2930.75</v>
      </c>
      <c r="E173" s="159">
        <f>SUMIFS('Utility Accts'!$Q:$Q,'Utility Accts'!$E:$E,"Water Pump House")</f>
        <v>0</v>
      </c>
      <c r="F173" s="159">
        <f t="shared" si="4"/>
        <v>2930.75</v>
      </c>
      <c r="AC173" s="305"/>
    </row>
    <row r="177" spans="2:13" ht="60">
      <c r="B177" s="321" t="s">
        <v>374</v>
      </c>
      <c r="C177" s="322" t="s">
        <v>281</v>
      </c>
      <c r="D177" s="322" t="s">
        <v>286</v>
      </c>
      <c r="E177" s="323" t="s">
        <v>282</v>
      </c>
      <c r="J177" s="364" t="s">
        <v>383</v>
      </c>
      <c r="K177" s="365"/>
      <c r="L177" s="365"/>
      <c r="M177" s="340" t="s">
        <v>281</v>
      </c>
    </row>
    <row r="178" spans="2:13">
      <c r="B178" s="324" t="s">
        <v>363</v>
      </c>
      <c r="C178" s="325">
        <f>'Utility Summary'!$J$9</f>
        <v>868.96079844903034</v>
      </c>
      <c r="D178" s="326">
        <f>('Utility Summary'!$D$9*0.003412)+('Utility Summary'!F183*0.1)+('Utility Summary'!H183*0.0916)</f>
        <v>3580.443616</v>
      </c>
      <c r="E178" s="327">
        <f>'Utility Summary'!$E$9+'Utility Summary'!$G$9+'Utility Summary'!$I$9</f>
        <v>197264.03000000003</v>
      </c>
      <c r="J178" s="358" t="s">
        <v>370</v>
      </c>
      <c r="K178" s="359"/>
      <c r="L178" s="359"/>
      <c r="M178" s="341">
        <f>SUMIFS('Utility Accts'!$AB:$AB,'Utility Accts'!$E:$E,"Pump Station")</f>
        <v>258.82228701892672</v>
      </c>
    </row>
    <row r="179" spans="2:13">
      <c r="B179" s="324" t="s">
        <v>250</v>
      </c>
      <c r="C179" s="70">
        <f>'Utility Summary'!$J$19</f>
        <v>258.82228701892672</v>
      </c>
      <c r="D179" s="326">
        <f>('Utility Summary'!$D$19*0.003412)+('Utility Summary'!$F$19*0.1)+('Utility Summary'!H191*0.0916)</f>
        <v>3094.4659160000001</v>
      </c>
      <c r="E179" s="327">
        <f>'Utility Summary'!$E$19+'Utility Summary'!$G$19+'Utility Summary'!$I$19</f>
        <v>88134.2</v>
      </c>
      <c r="J179" s="366" t="s">
        <v>377</v>
      </c>
      <c r="K179" s="367"/>
      <c r="L179" s="367"/>
      <c r="M179" s="342">
        <f>SUMIFS('Utility Accts'!$AB:$AB,'Utility Accts'!$E:$E,"DPW")</f>
        <v>216.65654031974182</v>
      </c>
    </row>
    <row r="180" spans="2:13">
      <c r="B180" s="328" t="s">
        <v>251</v>
      </c>
      <c r="C180" s="152">
        <f>'Utility Summary'!$J$21</f>
        <v>212.92486152544993</v>
      </c>
      <c r="D180" s="153">
        <f>('Utility Summary'!$D$21*0.003412)+('Utility Summary'!$F$21*0.1)+('Utility Summary'!H193*0.0916)</f>
        <v>3089.8755680000004</v>
      </c>
      <c r="E180" s="329">
        <f>'Utility Summary'!$E$21+'Utility Summary'!$G$21+'Utility Summary'!$I$21</f>
        <v>59660.21</v>
      </c>
      <c r="J180" s="358" t="s">
        <v>7</v>
      </c>
      <c r="K180" s="359"/>
      <c r="L180" s="359"/>
      <c r="M180" s="342">
        <f>SUMIFS('Utility Accts'!$AB:$AB,'Utility Accts'!$E:$E,"City Hall")</f>
        <v>195.6829840809101</v>
      </c>
    </row>
    <row r="181" spans="2:13">
      <c r="B181" s="330" t="s">
        <v>415</v>
      </c>
      <c r="C181" s="331">
        <f>SUM(C178:C180)</f>
        <v>1340.7079469934069</v>
      </c>
      <c r="D181" s="331">
        <f t="shared" ref="D181:E181" si="5">SUM(D178:D180)</f>
        <v>9764.785100000001</v>
      </c>
      <c r="E181" s="332">
        <f t="shared" si="5"/>
        <v>345058.44000000006</v>
      </c>
      <c r="J181" s="358" t="s">
        <v>371</v>
      </c>
      <c r="K181" s="359"/>
      <c r="L181" s="359"/>
      <c r="M181" s="342">
        <f>SUMIFS('Utility Accts'!$AB:$AB,'Utility Accts'!$E:$E,"Water Filtration")</f>
        <v>194.06511272544992</v>
      </c>
    </row>
    <row r="182" spans="2:13">
      <c r="B182" s="336"/>
      <c r="D182" s="333"/>
      <c r="E182" s="334"/>
      <c r="J182" s="360" t="s">
        <v>81</v>
      </c>
      <c r="K182" s="361"/>
      <c r="L182" s="361"/>
      <c r="M182" s="343">
        <f>SUMIFS('Utility Accts'!$AB:$AB,'Utility Accts'!$E:$E,"Music Hall")</f>
        <v>142.86017920107773</v>
      </c>
    </row>
    <row r="183" spans="2:13">
      <c r="B183" s="324" t="s">
        <v>247</v>
      </c>
      <c r="C183" s="70">
        <f>'Fleet Data'!$L$23</f>
        <v>595.12967117120002</v>
      </c>
      <c r="D183" s="326">
        <f>('Fleet Data'!$C$21*0.124262)+('Fleet Data'!$D$21*0.1396)</f>
        <v>8181.6793861400001</v>
      </c>
      <c r="E183" s="327">
        <f>'Fleet Data'!$G$21</f>
        <v>202686.58000000002</v>
      </c>
      <c r="J183" s="362"/>
      <c r="K183" s="363"/>
      <c r="L183" s="363"/>
      <c r="M183" s="343">
        <f>SUM(M178:M182)</f>
        <v>1008.0871033461063</v>
      </c>
    </row>
    <row r="184" spans="2:13">
      <c r="B184" s="335" t="s">
        <v>6</v>
      </c>
      <c r="C184" s="152">
        <f>'Utility Summary'!$J$16</f>
        <v>298.92907948767612</v>
      </c>
      <c r="D184" s="153">
        <f>'Utility Summary'!$D$16*0.003412</f>
        <v>3574.9264120000003</v>
      </c>
      <c r="E184" s="329">
        <f>'Utility Summary'!$E$16+'Utility Summary'!$G$16+'Utility Summary'!$I$16</f>
        <v>390180.34999999986</v>
      </c>
      <c r="L184" s="346" t="s">
        <v>427</v>
      </c>
      <c r="M184" s="347">
        <f>M183/C181</f>
        <v>0.75190656220602214</v>
      </c>
    </row>
    <row r="185" spans="2:13">
      <c r="B185" s="330" t="s">
        <v>414</v>
      </c>
      <c r="C185" s="331">
        <f>SUM(C183:C184)</f>
        <v>894.05875065887608</v>
      </c>
      <c r="D185" s="331">
        <f t="shared" ref="D185:E185" si="6">SUM(D183:D184)</f>
        <v>11756.605798140001</v>
      </c>
      <c r="E185" s="332">
        <f t="shared" si="6"/>
        <v>592866.92999999993</v>
      </c>
    </row>
    <row r="186" spans="2:13">
      <c r="B186" s="344" t="s">
        <v>424</v>
      </c>
      <c r="C186" s="345">
        <f>C185/(C187)</f>
        <v>0.40006804808668506</v>
      </c>
      <c r="D186" s="63"/>
      <c r="E186" s="84"/>
    </row>
    <row r="187" spans="2:13">
      <c r="B187" s="337" t="s">
        <v>257</v>
      </c>
      <c r="C187" s="338">
        <f>C181+C185</f>
        <v>2234.7666976522833</v>
      </c>
      <c r="D187" s="338">
        <f>D181+D185</f>
        <v>21521.390898140002</v>
      </c>
      <c r="E187" s="339">
        <f>E181+E185</f>
        <v>937925.37</v>
      </c>
    </row>
    <row r="188" spans="2:13">
      <c r="B188" s="298"/>
      <c r="C188" s="299"/>
      <c r="D188" s="299"/>
      <c r="E188" s="300"/>
    </row>
    <row r="190" spans="2:13">
      <c r="B190" s="319"/>
      <c r="C190" s="320"/>
      <c r="D190" s="289"/>
      <c r="E190" s="289"/>
    </row>
    <row r="191" spans="2:13" s="289" customFormat="1">
      <c r="B191" s="319"/>
      <c r="C191" s="320"/>
    </row>
    <row r="192" spans="2:13" s="289" customFormat="1">
      <c r="B192"/>
      <c r="C192"/>
      <c r="D192"/>
      <c r="E192"/>
    </row>
    <row r="193" spans="2:5" ht="60">
      <c r="B193" s="243" t="s">
        <v>280</v>
      </c>
      <c r="C193" s="82" t="s">
        <v>281</v>
      </c>
      <c r="D193" s="82" t="s">
        <v>286</v>
      </c>
      <c r="E193" s="82" t="s">
        <v>353</v>
      </c>
    </row>
    <row r="194" spans="2:5">
      <c r="B194" t="s">
        <v>270</v>
      </c>
      <c r="C194" s="162">
        <f>'Utility Accts'!$X$91</f>
        <v>990.55943943678301</v>
      </c>
      <c r="D194" s="162">
        <f>('Utility Accts'!$N$89*0.003412)</f>
        <v>11846.211512</v>
      </c>
      <c r="E194" s="164">
        <f>'Utility Accts'!$O$89</f>
        <v>646173.28</v>
      </c>
    </row>
    <row r="195" spans="2:5">
      <c r="B195" t="s">
        <v>269</v>
      </c>
      <c r="C195" s="162">
        <f>'Utility Accts'!$U$91</f>
        <v>648.93907920000004</v>
      </c>
      <c r="D195" s="162">
        <f>'Utility Accts'!$L$89*0.1</f>
        <v>12208.2</v>
      </c>
      <c r="E195" s="164">
        <f>'Utility Accts'!$M$89</f>
        <v>89023.09</v>
      </c>
    </row>
    <row r="196" spans="2:5">
      <c r="B196" t="s">
        <v>330</v>
      </c>
      <c r="C196" s="162">
        <f>'Fleet Data'!$L$23</f>
        <v>595.12967117120002</v>
      </c>
      <c r="D196" s="162">
        <f>('Fleet Data'!D21*0.1396)+('Fleet Data'!C21*0.124262)</f>
        <v>8181.6793861400001</v>
      </c>
      <c r="E196" s="146">
        <f>'Fleet Data'!$G$21</f>
        <v>202686.58000000002</v>
      </c>
    </row>
    <row r="197" spans="2:5">
      <c r="B197" s="3" t="s">
        <v>319</v>
      </c>
      <c r="C197" s="286">
        <f>'Utility Accts'!$AA$91</f>
        <v>0.13850784429999999</v>
      </c>
      <c r="D197" s="171">
        <f>'Utility Accts'!$P$89*0.0916</f>
        <v>2.2442000000000002</v>
      </c>
      <c r="E197" s="164">
        <f>'Utility Accts'!$Q$89</f>
        <v>42.42</v>
      </c>
    </row>
    <row r="198" spans="2:5">
      <c r="B198" s="142" t="s">
        <v>257</v>
      </c>
      <c r="C198" s="163">
        <f>SUM(C194:C197)</f>
        <v>2234.7666976522833</v>
      </c>
      <c r="D198" s="163">
        <f>SUM(D194:D197)</f>
        <v>32238.33509814</v>
      </c>
      <c r="E198" s="165">
        <f>SUM(E194:E197)</f>
        <v>937925.37</v>
      </c>
    </row>
    <row r="204" spans="2:5" ht="30">
      <c r="B204" s="243" t="s">
        <v>280</v>
      </c>
      <c r="C204" s="82" t="s">
        <v>353</v>
      </c>
    </row>
    <row r="205" spans="2:5">
      <c r="B205" t="s">
        <v>270</v>
      </c>
      <c r="C205" s="158">
        <f>'Utility Accts'!$O$89</f>
        <v>646173.28</v>
      </c>
    </row>
    <row r="206" spans="2:5">
      <c r="B206" t="s">
        <v>330</v>
      </c>
      <c r="C206" s="178">
        <f>'Fleet Data'!$G$21</f>
        <v>202686.58000000002</v>
      </c>
    </row>
    <row r="207" spans="2:5">
      <c r="B207" t="s">
        <v>269</v>
      </c>
      <c r="C207" s="158">
        <f>'Utility Accts'!$M$89</f>
        <v>89023.09</v>
      </c>
    </row>
    <row r="208" spans="2:5">
      <c r="B208" s="81" t="s">
        <v>319</v>
      </c>
      <c r="C208" s="214">
        <f>'Utility Accts'!$Q$89</f>
        <v>42.42</v>
      </c>
    </row>
  </sheetData>
  <sortState ref="B190:F199">
    <sortCondition descending="1" ref="F190:F199"/>
  </sortState>
  <mergeCells count="8">
    <mergeCell ref="A1:P1"/>
    <mergeCell ref="J181:L181"/>
    <mergeCell ref="J182:L182"/>
    <mergeCell ref="J183:L183"/>
    <mergeCell ref="J177:L177"/>
    <mergeCell ref="J178:L178"/>
    <mergeCell ref="J179:L179"/>
    <mergeCell ref="J180:L180"/>
  </mergeCells>
  <phoneticPr fontId="8" type="noConversion"/>
  <pageMargins left="0.7" right="0.7" top="0.75" bottom="0.75" header="0.3" footer="0.3"/>
  <pageSetup scale="75"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7:R44"/>
  <sheetViews>
    <sheetView zoomScale="125" zoomScaleNormal="125" zoomScalePageLayoutView="125" workbookViewId="0">
      <selection activeCell="C12" sqref="C12"/>
    </sheetView>
  </sheetViews>
  <sheetFormatPr defaultColWidth="8.85546875" defaultRowHeight="15"/>
  <cols>
    <col min="1" max="1" width="1.28515625" style="3" customWidth="1"/>
    <col min="2" max="2" width="27.85546875" style="3" customWidth="1"/>
    <col min="3" max="3" width="29.7109375" style="3" customWidth="1"/>
    <col min="4" max="4" width="12.42578125" style="3" customWidth="1"/>
    <col min="5" max="5" width="13.140625" style="3" customWidth="1"/>
    <col min="6" max="6" width="11.140625" style="3" customWidth="1"/>
    <col min="7" max="9" width="12" style="3" customWidth="1"/>
    <col min="10" max="10" width="13.28515625" style="3" customWidth="1"/>
    <col min="11" max="12" width="4.28515625" style="3" customWidth="1"/>
    <col min="13" max="16384" width="8.85546875" style="3"/>
  </cols>
  <sheetData>
    <row r="7" spans="2:10">
      <c r="B7" s="182"/>
      <c r="C7" s="182"/>
      <c r="G7" s="182"/>
      <c r="H7" s="182"/>
      <c r="I7" s="182"/>
    </row>
    <row r="8" spans="2:10" ht="45">
      <c r="B8" s="232" t="s">
        <v>2</v>
      </c>
      <c r="C8" s="232" t="s">
        <v>253</v>
      </c>
      <c r="D8" s="233" t="s">
        <v>291</v>
      </c>
      <c r="E8" s="233" t="s">
        <v>283</v>
      </c>
      <c r="F8" s="233" t="s">
        <v>267</v>
      </c>
      <c r="G8" s="233" t="s">
        <v>292</v>
      </c>
      <c r="H8" s="233" t="s">
        <v>350</v>
      </c>
      <c r="I8" s="233" t="s">
        <v>349</v>
      </c>
      <c r="J8" s="233" t="s">
        <v>274</v>
      </c>
    </row>
    <row r="9" spans="2:10">
      <c r="B9" s="235" t="s">
        <v>4</v>
      </c>
      <c r="C9" s="59" t="s">
        <v>246</v>
      </c>
      <c r="D9" s="25">
        <f>SUMIF('Utility Accts'!$I:$I,"Buildings and Other Facilities",'Utility Accts'!$N:$N)</f>
        <v>1049368</v>
      </c>
      <c r="E9" s="24">
        <f>SUMIF('Utility Accts'!$I:$I,"Buildings and Other Facilities",'Utility Accts'!$O:$O)</f>
        <v>119706.58000000002</v>
      </c>
      <c r="F9" s="25">
        <f>SUMIF('Utility Accts'!$I:$I,"Buildings and Other Facilities",'Utility Accts'!$L:$L)</f>
        <v>107147</v>
      </c>
      <c r="G9" s="24">
        <f>SUMIF('Utility Accts'!$I:$I,"Buildings and Other Facilities",'Utility Accts'!$M:$M)</f>
        <v>77551.39</v>
      </c>
      <c r="H9" s="212">
        <f>SUMIF('Utility Accts'!$I:$I,"Buildings and Other Facilities",'Utility Accts'!$P:$P)</f>
        <v>3.5</v>
      </c>
      <c r="I9" s="24">
        <f>SUMIF('Utility Accts'!$I:$I,"Buildings and Other Facilities",'Utility Accts'!$Q:$Q)</f>
        <v>6.06</v>
      </c>
      <c r="J9" s="237">
        <f>SUMIF('Utility Accts'!$I:$I,"Buildings and Other Facilities",'Utility Accts'!$AB:$AB)</f>
        <v>868.96079844903034</v>
      </c>
    </row>
    <row r="10" spans="2:10">
      <c r="B10" s="236"/>
      <c r="C10" s="16" t="s">
        <v>60</v>
      </c>
      <c r="D10" s="18">
        <f>SUMIFS('Utility Accts'!$N:$N,'Utility Accts'!$I:$I,"Buildings and Other Facilities",'Utility Accts'!$J:$J,"Administrative Facility")</f>
        <v>392260</v>
      </c>
      <c r="E10" s="17">
        <f>SUMIFS('Utility Accts'!$O:$O,'Utility Accts'!$I:$I,"Buildings and Other Facilities",'Utility Accts'!$J:$J,"Administrative Facility")</f>
        <v>40890.560000000005</v>
      </c>
      <c r="F10" s="18">
        <f>SUMIFS('Utility Accts'!$L:$L,'Utility Accts'!$I:$I,"Buildings and Other Facilities",'Utility Accts'!$J:$J,"Administrative Facility")</f>
        <v>56514</v>
      </c>
      <c r="G10" s="17">
        <f>SUMIFS('Utility Accts'!$M:$M,'Utility Accts'!$I:$I,"Buildings and Other Facilities",'Utility Accts'!$J:$J,"Administrative Facility")</f>
        <v>39851.060000000005</v>
      </c>
      <c r="H10" s="213">
        <f>SUMIFS('Utility Accts'!$P:$P,'Utility Accts'!$I:$I,"Buildings and Other Facilities",'Utility Accts'!$J:$J,"Administrative Facility")</f>
        <v>3.5</v>
      </c>
      <c r="I10" s="17">
        <f>SUMIFS('Utility Accts'!$Q:$Q,'Utility Accts'!$I:$I,"Buildings and Other Facilities",'Utility Accts'!$J:$J,"Administrative Facility")</f>
        <v>6.06</v>
      </c>
      <c r="J10" s="238">
        <f>SUMIFS('Utility Accts'!$AB:$AB,'Utility Accts'!$I:$I,"Buildings and Other Facilities",'Utility Accts'!$J:$J,"Administrative Facility")</f>
        <v>412.33952440065195</v>
      </c>
    </row>
    <row r="11" spans="2:10">
      <c r="B11" s="236"/>
      <c r="C11" s="16" t="s">
        <v>428</v>
      </c>
      <c r="D11" s="18">
        <f>SUMIFS('Utility Accts'!$N:$N,'Utility Accts'!$I:$I,"Buildings and Other Facilities",'Utility Accts'!$J:$J,"Miscellaneous")</f>
        <v>483263</v>
      </c>
      <c r="E11" s="17">
        <f>SUMIFS('Utility Accts'!$O:$O,'Utility Accts'!$I:$I,"Buildings and Other Facilities",'Utility Accts'!$J:$J,"Miscellaneous")</f>
        <v>54567.290000000008</v>
      </c>
      <c r="F11" s="18">
        <f>SUMIFS('Utility Accts'!$L:$L,'Utility Accts'!$I:$I,"Buildings and Other Facilities",'Utility Accts'!$J:$J,"Miscellaneous")</f>
        <v>34499</v>
      </c>
      <c r="G11" s="17">
        <f>SUMIFS('Utility Accts'!$M:$M,'Utility Accts'!$I:$I,"Buildings and Other Facilities",'Utility Accts'!$J:$J,"Miscellaneous")</f>
        <v>25093.02</v>
      </c>
      <c r="H11" s="213">
        <f>SUMIFS('Utility Accts'!$P:$P,'Utility Accts'!$I:$I,"Buildings and Other Facilities",'Utility Accts'!$J:$J,"Miscellaneous")</f>
        <v>0</v>
      </c>
      <c r="I11" s="17">
        <f>SUMIFS('Utility Accts'!$Q:$Q,'Utility Accts'!$I:$I,"Buildings and Other Facilities",'Utility Accts'!$J:$J,"Miscellaneous")</f>
        <v>0</v>
      </c>
      <c r="J11" s="238">
        <f>SUMIFS('Utility Accts'!$AB:$AB,'Utility Accts'!$I:$I,"Buildings and Other Facilities",'Utility Accts'!$J:$J,"Miscellaneous")</f>
        <v>321.26045620900106</v>
      </c>
    </row>
    <row r="12" spans="2:10">
      <c r="B12" s="236"/>
      <c r="C12" s="16" t="s">
        <v>416</v>
      </c>
      <c r="D12" s="18">
        <f>SUMIFS('Utility Accts'!$N:$N,'Utility Accts'!$I:$I,"Buildings and Other Facilities",'Utility Accts'!$J:$J,"Public Safety Facility")</f>
        <v>114419</v>
      </c>
      <c r="E12" s="17">
        <f>SUMIFS('Utility Accts'!$O:$O,'Utility Accts'!$I:$I,"Buildings and Other Facilities",'Utility Accts'!$J:$J,"Public Safety Facility")</f>
        <v>14322.79</v>
      </c>
      <c r="F12" s="18">
        <f>SUMIFS('Utility Accts'!$L:$L,'Utility Accts'!$I:$I,"Buildings and Other Facilities",'Utility Accts'!$J:$J,"Public Safety Facility")</f>
        <v>16134</v>
      </c>
      <c r="G12" s="17">
        <f>SUMIFS('Utility Accts'!$M:$M,'Utility Accts'!$I:$I,"Buildings and Other Facilities",'Utility Accts'!$J:$J,"Public Safety Facility")</f>
        <v>12607.31</v>
      </c>
      <c r="H12" s="213">
        <f>SUMIFS('Utility Accts'!$P:$P,'Utility Accts'!$I:$I,"Buildings and Other Facilities",'Utility Accts'!$J:$J,"Public Safety Facility")</f>
        <v>0</v>
      </c>
      <c r="I12" s="17">
        <f>SUMIFS('Utility Accts'!$Q:$Q,'Utility Accts'!$I:$I,"Buildings and Other Facilities",'Utility Accts'!$J:$J,"Public Safety Facility")</f>
        <v>0</v>
      </c>
      <c r="J12" s="238">
        <f>SUMIFS('Utility Accts'!$AB:$AB,'Utility Accts'!$I:$I,"Buildings and Other Facilities",'Utility Accts'!$J:$J,"Public Safety Facility")</f>
        <v>118.40625566035327</v>
      </c>
    </row>
    <row r="13" spans="2:10">
      <c r="B13" s="236"/>
      <c r="C13" s="16" t="s">
        <v>15</v>
      </c>
      <c r="D13" s="18">
        <f>SUMIFS('Utility Accts'!$N:$N,'Utility Accts'!$I:$I,"Buildings and Other Facilities",'Utility Accts'!$J:$J,"Recreational Facility")</f>
        <v>59426</v>
      </c>
      <c r="E13" s="17">
        <f>SUMIFS('Utility Accts'!$O:$O,'Utility Accts'!$I:$I,"Buildings and Other Facilities",'Utility Accts'!$J:$J,"Recreational Facility")</f>
        <v>9925.9399999999987</v>
      </c>
      <c r="F13" s="18">
        <f>SUMIFS('Utility Accts'!$L:$L,'Utility Accts'!$I:$I,"Buildings and Other Facilities",'Utility Accts'!$J:$J,"Recreational Facility")</f>
        <v>0</v>
      </c>
      <c r="G13" s="17">
        <f>SUMIFS('Utility Accts'!$M:$M,'Utility Accts'!$I:$I,"Buildings and Other Facilities",'Utility Accts'!$J:$J,"Recreational Facility")</f>
        <v>0</v>
      </c>
      <c r="H13" s="213">
        <f>SUMIFS('Utility Accts'!$P:$P,'Utility Accts'!$I:$I,"Buildings and Other Facilities",'Utility Accts'!$J:$J,"Recreational Facility")</f>
        <v>0</v>
      </c>
      <c r="I13" s="17">
        <f>SUMIFS('Utility Accts'!$Q:$Q,'Utility Accts'!$I:$I,"Buildings and Other Facilities",'Utility Accts'!$J:$J,"Recreational Facility")</f>
        <v>0</v>
      </c>
      <c r="J13" s="238">
        <f>SUMIFS('Utility Accts'!$AB:$AB,'Utility Accts'!$I:$I,"Buildings and Other Facilities",'Utility Accts'!$J:$J,"Recreational Facility")</f>
        <v>16.954562179024048</v>
      </c>
    </row>
    <row r="14" spans="2:10">
      <c r="B14" s="235" t="s">
        <v>8</v>
      </c>
      <c r="C14" s="59" t="s">
        <v>246</v>
      </c>
      <c r="D14" s="25">
        <f>SUMIF('Utility Accts'!$I:$I,"Solid Waste Facilities",'Utility Accts'!$N:$N)</f>
        <v>0</v>
      </c>
      <c r="E14" s="24">
        <f>SUMIF('Utility Accts'!$I:$I,"Solid Waste Facilities",'Utility Accts'!$O:$O)</f>
        <v>0</v>
      </c>
      <c r="F14" s="25">
        <f>SUMIF('Utility Accts'!$I:$I,"Solid Waste Facilities",'Utility Accts'!$L:$L)</f>
        <v>0</v>
      </c>
      <c r="G14" s="24">
        <f>SUMIF('Utility Accts'!$I:$I,"Solid Waste Facilities",'Utility Accts'!$M:$M)</f>
        <v>0</v>
      </c>
      <c r="H14" s="212">
        <f>SUMIF('Utility Accts'!$I:$I,"Solid Waste Facilities",'Utility Accts'!$P:$P)</f>
        <v>0</v>
      </c>
      <c r="I14" s="24">
        <f>SUMIF('Utility Accts'!$I:$I,"Solid Waste Facilities",'Utility Accts'!$Q:$Q)</f>
        <v>0</v>
      </c>
      <c r="J14" s="237">
        <f>SUMIF('Utility Accts'!$I:$I,"Solid Waste Facilities",'Utility Accts'!$AB:$AB)</f>
        <v>0</v>
      </c>
    </row>
    <row r="15" spans="2:10">
      <c r="B15" s="236"/>
      <c r="C15" s="16" t="s">
        <v>9</v>
      </c>
      <c r="D15" s="18">
        <f>SUMIFS('Utility Accts'!$N:$N,'Utility Accts'!$I:$I,"SJlid Waste Facilities",'Utility Accts'!$J:$J,"Landfill Facility")</f>
        <v>0</v>
      </c>
      <c r="E15" s="17">
        <f>SUMIFS('Utility Accts'!$O:$O,'Utility Accts'!$I:$I,"SJlid Waste Facilities",'Utility Accts'!$J:$J,"Landfill Facility")</f>
        <v>0</v>
      </c>
      <c r="F15" s="18">
        <f>SUMIFS('Utility Accts'!$L:$L,'Utility Accts'!$I:$I,"SJlid Waste Facilities",'Utility Accts'!$J:$J,"Landfill Facility")</f>
        <v>0</v>
      </c>
      <c r="G15" s="17">
        <f>SUMIFS('Utility Accts'!$M:$M,'Utility Accts'!$I:$I,"SJlid Waste Facilities",'Utility Accts'!$J:$J,"Landfill Facility")</f>
        <v>0</v>
      </c>
      <c r="H15" s="213">
        <f>SUMIFS('Utility Accts'!$P:$P,'Utility Accts'!$I:$I,"SJlid Waste Facilities",'Utility Accts'!$J:$J,"Landfill Facility")</f>
        <v>0</v>
      </c>
      <c r="I15" s="17">
        <f>SUMIFS('Utility Accts'!$Q:$Q,'Utility Accts'!$I:$I,"SJlid Waste Facilities",'Utility Accts'!$J:$J,"Landfill Facility")</f>
        <v>0</v>
      </c>
      <c r="J15" s="238">
        <f>SUMIFS('Utility Accts'!$AB:$AB,'Utility Accts'!$I:$I,"SJlid Waste Facilities",'Utility Accts'!$J:$J,"Landfill Facility")</f>
        <v>0</v>
      </c>
    </row>
    <row r="16" spans="2:10">
      <c r="B16" s="235" t="s">
        <v>6</v>
      </c>
      <c r="C16" s="59" t="s">
        <v>246</v>
      </c>
      <c r="D16" s="25">
        <f>SUMIF('Utility Accts'!$I:$I,"Streetlights and Traffic Signals",'Utility Accts'!$N:$N)</f>
        <v>1047751</v>
      </c>
      <c r="E16" s="24">
        <f>SUMIF('Utility Accts'!$I:$I,"Streetlights and Traffic Signals",'Utility Accts'!$O:$O)</f>
        <v>390180.34999999986</v>
      </c>
      <c r="F16" s="25">
        <f>SUMIF('Utility Accts'!$I:$I,"Streetlights and Traffic Signals",'Utility Accts'!$L:$L)</f>
        <v>0</v>
      </c>
      <c r="G16" s="24">
        <f>SUMIF('Utility Accts'!$I:$I,"Streetlights and Traffic Signals",'Utility Accts'!$M:$M)</f>
        <v>0</v>
      </c>
      <c r="H16" s="212">
        <f>SUMIF('Utility Accts'!$I:$I,"Streetlights and Traffic Signals",'Utility Accts'!$P:$P)</f>
        <v>0</v>
      </c>
      <c r="I16" s="24">
        <f>SUMIF('Utility Accts'!$I:$I,"Streetlights and Traffic Signals",'Utility Accts'!$Q:$Q)</f>
        <v>0</v>
      </c>
      <c r="J16" s="237">
        <f>SUMIF('Utility Accts'!$I:$I,"Streetlights and Traffic Signals",'Utility Accts'!$AB:$AB)</f>
        <v>298.92907948767612</v>
      </c>
    </row>
    <row r="17" spans="1:13">
      <c r="B17" s="236"/>
      <c r="C17" s="16" t="s">
        <v>17</v>
      </c>
      <c r="D17" s="18">
        <f>SUMIFS('Utility Accts'!$N:$N,'Utility Accts'!$I:$I,"Streetlights and Traffic Signals",'Utility Accts'!$J:$J,"Traffic Signals")</f>
        <v>59509</v>
      </c>
      <c r="E17" s="17">
        <f>SUMIFS('Utility Accts'!$O:$O,'Utility Accts'!$I:$I,"Streetlights and Traffic Signals",'Utility Accts'!$J:$J,"Traffic Signals")</f>
        <v>13063.180000000004</v>
      </c>
      <c r="F17" s="18">
        <f>SUMIFS('Utility Accts'!$L:$L,'Utility Accts'!$I:$I,"Streetlights and Traffic Signals",'Utility Accts'!$J:$J,"Traffic Signals")</f>
        <v>0</v>
      </c>
      <c r="G17" s="17">
        <f>SUMIFS('Utility Accts'!$M:$M,'Utility Accts'!$I:$I,"Streetlights and Traffic Signals",'Utility Accts'!$J:$J,"Traffic Signals")</f>
        <v>0</v>
      </c>
      <c r="H17" s="213">
        <f>SUMIFS('Utility Accts'!$P:$P,'Utility Accts'!$I:$I,"Streetlights and Traffic Signals",'Utility Accts'!$J:$J,"Traffic Signals")</f>
        <v>0</v>
      </c>
      <c r="I17" s="17">
        <f>SUMIFS('Utility Accts'!$Q:$Q,'Utility Accts'!$I:$I,"Streetlights and Traffic Signals",'Utility Accts'!$J:$J,"Traffic Signals")</f>
        <v>0</v>
      </c>
      <c r="J17" s="238">
        <f>SUMIFS('Utility Accts'!$AB:$AB,'Utility Accts'!$I:$I,"Streetlights and Traffic Signals",'Utility Accts'!$J:$J,"Traffic Signals")</f>
        <v>16.978242532082625</v>
      </c>
    </row>
    <row r="18" spans="1:13">
      <c r="B18" s="236"/>
      <c r="C18" s="16" t="s">
        <v>18</v>
      </c>
      <c r="D18" s="18">
        <f>SUMIFS('Utility Accts'!$N:$N,'Utility Accts'!$I:$I,"Streetlights and Traffic Signals",'Utility Accts'!$J:$J,"Streetlights")</f>
        <v>988242</v>
      </c>
      <c r="E18" s="17">
        <f>SUMIFS('Utility Accts'!$O:$O,'Utility Accts'!$I:$I,"Streetlights and Traffic Signals",'Utility Accts'!$J:$J,"Streetlights")</f>
        <v>377117.17</v>
      </c>
      <c r="F18" s="18">
        <f>SUMIFS('Utility Accts'!$L:$L,'Utility Accts'!$I:$I,"Streetlights and Traffic Signals",'Utility Accts'!$J:$J,"Streetlights")</f>
        <v>0</v>
      </c>
      <c r="G18" s="17">
        <f>SUMIFS('Utility Accts'!$M:$M,'Utility Accts'!$I:$I,"Streetlights and Traffic Signals",'Utility Accts'!$J:$J,"Streetlights")</f>
        <v>0</v>
      </c>
      <c r="H18" s="213">
        <f>SUMIFS('Utility Accts'!$P:$P,'Utility Accts'!$I:$I,"Streetlights and Traffic Signals",'Utility Accts'!$J:$J,"Streetlights")</f>
        <v>0</v>
      </c>
      <c r="I18" s="17">
        <f>SUMIFS('Utility Accts'!$Q:$Q,'Utility Accts'!$I:$I,"Streetlights and Traffic Signals",'Utility Accts'!$J:$J,"Streetlights")</f>
        <v>0</v>
      </c>
      <c r="J18" s="238">
        <f>SUMIFS('Utility Accts'!$AB:$AB,'Utility Accts'!$I:$I,"Streetlights and Traffic Signals",'Utility Accts'!$J:$J,"Streetlights")</f>
        <v>281.95083695559327</v>
      </c>
      <c r="K18" s="99"/>
      <c r="L18" s="99"/>
      <c r="M18" s="143"/>
    </row>
    <row r="19" spans="1:13">
      <c r="B19" s="235" t="s">
        <v>248</v>
      </c>
      <c r="C19" s="59" t="s">
        <v>246</v>
      </c>
      <c r="D19" s="25">
        <f>SUMIF('Utility Accts'!$I:$I,"Wastewater Treatment Facilities",'Utility Accts'!$N:$N)</f>
        <v>906643</v>
      </c>
      <c r="E19" s="24">
        <f>SUMIF('Utility Accts'!$I:$I,"Wastewater Treatment Facilities",'Utility Accts'!$O:$O)</f>
        <v>87840.53</v>
      </c>
      <c r="F19" s="25">
        <f>SUMIF('Utility Accts'!$I:$I,"Wastewater Treatment Facilities",'Utility Accts'!$L:$L)</f>
        <v>10</v>
      </c>
      <c r="G19" s="24">
        <f>SUMIF('Utility Accts'!$I:$I,"Wastewater Treatment Facilities",'Utility Accts'!$M:$M)</f>
        <v>263.37</v>
      </c>
      <c r="H19" s="212">
        <f>SUMIF('Utility Accts'!$I:$I,"Wastewater Treatment Facilities",'Utility Accts'!$P:$P)</f>
        <v>17.5</v>
      </c>
      <c r="I19" s="24">
        <f>SUMIF('Utility Accts'!$I:$I,"Wastewater Treatment Facilities",'Utility Accts'!$Q:$Q)</f>
        <v>30.299999999999997</v>
      </c>
      <c r="J19" s="237">
        <f>SUMIF('Utility Accts'!$I:$I,"Wastewater Treatment Facilities",'Utility Accts'!$AB:$AB)</f>
        <v>258.82228701892672</v>
      </c>
    </row>
    <row r="20" spans="1:13">
      <c r="B20" s="236"/>
      <c r="C20" s="16" t="s">
        <v>249</v>
      </c>
      <c r="D20" s="18">
        <f>SUMIFS('Utility Accts'!$N:$N,'Utility Accts'!$I:$I,"Wastewater Treatment Facilities",'Utility Accts'!$J:$J,"Pumping Station")</f>
        <v>906643</v>
      </c>
      <c r="E20" s="17">
        <f>SUMIFS('Utility Accts'!$O:$O,'Utility Accts'!$I:$I,"Wastewater Treatment Facilities",'Utility Accts'!$J:$J,"Pumping Station")</f>
        <v>87840.53</v>
      </c>
      <c r="F20" s="18">
        <f>SUMIFS('Utility Accts'!$L:$L,'Utility Accts'!$I:$I,"Wastewater Treatment Facilities",'Utility Accts'!$J:$J,"Pumping Station")</f>
        <v>10</v>
      </c>
      <c r="G20" s="17">
        <f>SUMIFS('Utility Accts'!$M:$M,'Utility Accts'!$I:$I,"Wastewater Treatment Facilities",'Utility Accts'!$J:$J,"Pumping Station")</f>
        <v>263.37</v>
      </c>
      <c r="H20" s="213">
        <f>SUMIFS('Utility Accts'!$P:$P,'Utility Accts'!$I:$I,"Wastewater Treatment Facilities",'Utility Accts'!$J:$J,"Pumping Station")</f>
        <v>17.5</v>
      </c>
      <c r="I20" s="17">
        <f>SUMIFS('Utility Accts'!$Q:$Q,'Utility Accts'!$I:$I,"Wastewater Treatment Facilities",'Utility Accts'!$J:$J,"Pumping Station")</f>
        <v>30.299999999999997</v>
      </c>
      <c r="J20" s="238">
        <f>SUMIFS('Utility Accts'!$AB:$AB,'Utility Accts'!$I:$I,"Wastewater Treatment Facilities",'Utility Accts'!$J:$J,"Pumping Station")</f>
        <v>258.82228701892672</v>
      </c>
    </row>
    <row r="21" spans="1:13">
      <c r="B21" s="235" t="s">
        <v>10</v>
      </c>
      <c r="C21" s="59" t="s">
        <v>246</v>
      </c>
      <c r="D21" s="25">
        <f>SUMIF('Utility Accts'!$I:$I,"Water Delivery Facilities",'Utility Accts'!$N:$N)</f>
        <v>468164</v>
      </c>
      <c r="E21" s="24">
        <f>SUMIF('Utility Accts'!$I:$I,"Water Delivery Facilities",'Utility Accts'!$O:$O)</f>
        <v>48445.82</v>
      </c>
      <c r="F21" s="25">
        <f>SUMIF('Utility Accts'!$I:$I,"Water Delivery Facilities",'Utility Accts'!$L:$L)</f>
        <v>14925</v>
      </c>
      <c r="G21" s="24">
        <f>SUMIF('Utility Accts'!$I:$I,"Water Delivery Facilities",'Utility Accts'!$M:$M)</f>
        <v>11208.33</v>
      </c>
      <c r="H21" s="212">
        <f>SUMIF('Utility Accts'!$I:$I,"Water Delivery Facilities",'Utility Accts'!$P:$P)</f>
        <v>3.5</v>
      </c>
      <c r="I21" s="24">
        <f>SUMIF('Utility Accts'!$I:$I,"Water Delivery Facilities",'Utility Accts'!$Q:$Q)</f>
        <v>6.06</v>
      </c>
      <c r="J21" s="237">
        <f>SUMIF('Utility Accts'!$I:$I,"Water Delivery Facilities",'Utility Accts'!$AB:$AB)</f>
        <v>212.92486152544993</v>
      </c>
    </row>
    <row r="22" spans="1:13">
      <c r="B22" s="16"/>
      <c r="C22" s="16" t="s">
        <v>249</v>
      </c>
      <c r="D22" s="18">
        <f>SUMIFS('Utility Accts'!$N:$N,'Utility Accts'!$I:$I,"Water Delivery Facilities",'Utility Accts'!$J:$J,"Pumping Station")</f>
        <v>0</v>
      </c>
      <c r="E22" s="17">
        <f>SUMIFS('Utility Accts'!$O:$O,'Utility Accts'!$I:$I,"Water Delivery Facilities",'Utility Accts'!$J:$J,"Pumping Station")</f>
        <v>0</v>
      </c>
      <c r="F22" s="18">
        <f>SUMIFS('Utility Accts'!$L:$L,'Utility Accts'!$I:$I,"Water Delivery Facilities",'Utility Accts'!$J:$J,"Pumping Station")</f>
        <v>3548</v>
      </c>
      <c r="G22" s="17">
        <f>SUMIFS('Utility Accts'!$M:$M,'Utility Accts'!$I:$I,"Water Delivery Facilities",'Utility Accts'!$J:$J,"Pumping Station")</f>
        <v>2930.75</v>
      </c>
      <c r="H22" s="213">
        <f>SUMIFS('Utility Accts'!$P:$P,'Utility Accts'!$I:$I,"Water Delivery Facilities",'Utility Accts'!$J:$J,"Pumping Station")</f>
        <v>0</v>
      </c>
      <c r="I22" s="17">
        <f>SUMIFS('Utility Accts'!$Q:$Q,'Utility Accts'!$I:$I,"Water Delivery Facilities",'Utility Accts'!$J:$J,"Pumping Station")</f>
        <v>0</v>
      </c>
      <c r="J22" s="238">
        <f>SUMIFS('Utility Accts'!$AB:$AB,'Utility Accts'!$I:$I,"Water Delivery Facilities",'Utility Accts'!$J:$J,"Pumping Station")</f>
        <v>18.859748800000002</v>
      </c>
    </row>
    <row r="23" spans="1:13">
      <c r="B23" s="16"/>
      <c r="C23" s="16" t="s">
        <v>13</v>
      </c>
      <c r="D23" s="18">
        <f>SUMIFS('Utility Accts'!$N:$N,'Utility Accts'!$I:$I,"Water Delivery Facilities",'Utility Accts'!$J:$J,"Water Delivery Other")</f>
        <v>41</v>
      </c>
      <c r="E23" s="17">
        <f>SUMIFS('Utility Accts'!$O:$O,'Utility Accts'!$I:$I,"Water Delivery Facilities",'Utility Accts'!$J:$J,"Water Delivery Other")</f>
        <v>260.16000000000003</v>
      </c>
      <c r="F23" s="18">
        <f>SUMIFS('Utility Accts'!$L:$L,'Utility Accts'!$I:$I,"Water Delivery Facilities",'Utility Accts'!$J:$J,"Water Delivery Other")</f>
        <v>0</v>
      </c>
      <c r="G23" s="17">
        <f>SUMIFS('Utility Accts'!$M:$M,'Utility Accts'!$I:$I,"Water Delivery Facilities",'Utility Accts'!$J:$J,"Water Delivery Other")</f>
        <v>0</v>
      </c>
      <c r="H23" s="213">
        <f>SUMIFS('Utility Accts'!$P:$P,'Utility Accts'!$I:$I,"Water Delivery Facilities",'Utility Accts'!$J:$J,"Water Delivery Other")</f>
        <v>0</v>
      </c>
      <c r="I23" s="17">
        <f>SUMIFS('Utility Accts'!$Q:$Q,'Utility Accts'!$I:$I,"Water Delivery Facilities",'Utility Accts'!$J:$J,"Water Delivery Other")</f>
        <v>0</v>
      </c>
      <c r="J23" s="238">
        <f>SUMIFS('Utility Accts'!$AB:$AB,'Utility Accts'!$I:$I,"Water Delivery Facilities",'Utility Accts'!$J:$J,"Water Delivery Other")</f>
        <v>1.169752380001996E-2</v>
      </c>
    </row>
    <row r="24" spans="1:13">
      <c r="B24" s="16"/>
      <c r="C24" s="16" t="s">
        <v>11</v>
      </c>
      <c r="D24" s="18">
        <f>SUMIFS('Utility Accts'!$N:$N,'Utility Accts'!$I:$I,"Water Delivery Facilities",'Utility Accts'!$J:$J,"Water Supply Treatment Facility")</f>
        <v>468123</v>
      </c>
      <c r="E24" s="17">
        <f>SUMIFS('Utility Accts'!$O:$O,'Utility Accts'!$I:$I,"Water Delivery Facilities",'Utility Accts'!$J:$J,"Water Supply Treatment Facility")</f>
        <v>48185.659999999996</v>
      </c>
      <c r="F24" s="18">
        <f>SUMIFS('Utility Accts'!$L:$L,'Utility Accts'!$I:$I,"Water Delivery Facilities",'Utility Accts'!$J:$J,"Water Supply Treatment Facility")</f>
        <v>11377</v>
      </c>
      <c r="G24" s="17">
        <f>SUMIFS('Utility Accts'!$M:$M,'Utility Accts'!$I:$I,"Water Delivery Facilities",'Utility Accts'!$J:$J,"Water Supply Treatment Facility")</f>
        <v>8277.58</v>
      </c>
      <c r="H24" s="213">
        <f>SUMIFS('Utility Accts'!$P:$P,'Utility Accts'!$I:$I,"Water Delivery Facilities",'Utility Accts'!$J:$J,"Water Supply Treatment Facility")</f>
        <v>3.5</v>
      </c>
      <c r="I24" s="17">
        <f>SUMIFS('Utility Accts'!$Q:$Q,'Utility Accts'!$I:$I,"Water Delivery Facilities",'Utility Accts'!$J:$J,"Water Supply Treatment Facility")</f>
        <v>6.06</v>
      </c>
      <c r="J24" s="238">
        <f>SUMIFS('Utility Accts'!$AB:$AB,'Utility Accts'!$I:$I,"Water Delivery Facilities",'Utility Accts'!$J:$J,"Water Supply Treatment Facility")</f>
        <v>194.0534152016499</v>
      </c>
    </row>
    <row r="25" spans="1:13">
      <c r="B25" s="16"/>
      <c r="C25" s="16"/>
      <c r="D25" s="18"/>
      <c r="E25" s="17"/>
      <c r="F25" s="18"/>
      <c r="G25" s="17"/>
      <c r="H25" s="213"/>
      <c r="I25" s="17"/>
      <c r="J25" s="238"/>
    </row>
    <row r="26" spans="1:13">
      <c r="B26" s="226" t="s">
        <v>111</v>
      </c>
      <c r="C26" s="227"/>
      <c r="D26" s="228">
        <f>D21+D19+D16+D14+D9</f>
        <v>3471926</v>
      </c>
      <c r="E26" s="229">
        <f>E21+E19+E16+E14+E9</f>
        <v>646173.2799999998</v>
      </c>
      <c r="F26" s="228">
        <f>F21+F19+F16+F14+F9</f>
        <v>122082</v>
      </c>
      <c r="G26" s="229">
        <f>G21+G19+G16+G14+G9</f>
        <v>89023.09</v>
      </c>
      <c r="H26" s="230">
        <f t="shared" ref="H26" si="0">H21+H19+H16+H14+H9</f>
        <v>24.5</v>
      </c>
      <c r="I26" s="229">
        <f>I21+I19+I16+I14+I9</f>
        <v>42.42</v>
      </c>
      <c r="J26" s="231">
        <f>J21+J19+J16+J14+J9</f>
        <v>1639.637026481083</v>
      </c>
    </row>
    <row r="27" spans="1:13">
      <c r="A27" s="22"/>
      <c r="B27" s="68"/>
      <c r="C27" s="69"/>
      <c r="D27" s="70"/>
      <c r="E27" s="70"/>
      <c r="F27" s="71"/>
      <c r="G27" s="71"/>
      <c r="H27" s="71"/>
      <c r="I27" s="71"/>
      <c r="J27" s="71"/>
    </row>
    <row r="28" spans="1:13">
      <c r="A28" s="22"/>
      <c r="B28" s="68"/>
      <c r="C28" s="69"/>
      <c r="D28" s="70"/>
      <c r="E28" s="70"/>
      <c r="F28" s="71"/>
      <c r="G28" s="71"/>
      <c r="H28" s="71"/>
      <c r="I28" s="71"/>
      <c r="J28" s="71"/>
    </row>
    <row r="29" spans="1:13">
      <c r="A29" s="22"/>
      <c r="B29" s="68"/>
      <c r="C29" s="69"/>
      <c r="D29" s="70"/>
      <c r="E29" s="70"/>
      <c r="F29" s="71"/>
      <c r="G29" s="71"/>
      <c r="H29" s="71"/>
      <c r="I29" s="71"/>
      <c r="J29" s="71"/>
    </row>
    <row r="30" spans="1:13">
      <c r="A30" s="22"/>
      <c r="B30" s="68"/>
      <c r="C30" s="69"/>
      <c r="D30" s="70"/>
      <c r="E30" s="70"/>
      <c r="F30" s="71"/>
      <c r="G30" s="71"/>
      <c r="H30" s="71"/>
      <c r="I30" s="71"/>
      <c r="J30" s="71"/>
    </row>
    <row r="31" spans="1:13">
      <c r="A31" s="22"/>
      <c r="B31" s="68"/>
      <c r="C31" s="69"/>
      <c r="D31" s="70"/>
      <c r="E31" s="70"/>
      <c r="F31" s="71"/>
      <c r="G31" s="71"/>
      <c r="H31" s="71"/>
      <c r="I31" s="71"/>
      <c r="J31" s="71"/>
    </row>
    <row r="32" spans="1:13">
      <c r="A32" s="22"/>
      <c r="B32" s="68"/>
      <c r="C32" s="69"/>
      <c r="D32" s="70"/>
      <c r="E32" s="70"/>
      <c r="F32" s="71"/>
      <c r="G32" s="71"/>
      <c r="H32" s="71"/>
      <c r="I32" s="71"/>
      <c r="J32" s="71"/>
    </row>
    <row r="33" spans="1:18">
      <c r="A33" s="22"/>
      <c r="B33" s="68"/>
      <c r="C33" s="69"/>
      <c r="D33" s="70"/>
      <c r="E33" s="70"/>
      <c r="F33" s="71"/>
      <c r="G33" s="71"/>
      <c r="H33" s="71"/>
      <c r="I33" s="71"/>
      <c r="J33" s="71"/>
    </row>
    <row r="34" spans="1:18">
      <c r="A34" s="22"/>
      <c r="B34" s="68"/>
      <c r="C34" s="69"/>
      <c r="D34" s="70"/>
      <c r="E34" s="70"/>
      <c r="F34" s="71"/>
      <c r="G34" s="71"/>
      <c r="H34" s="71"/>
      <c r="I34" s="71"/>
      <c r="J34" s="71"/>
    </row>
    <row r="35" spans="1:18">
      <c r="A35" s="22"/>
      <c r="B35" s="68"/>
      <c r="C35" s="69"/>
      <c r="D35" s="70"/>
      <c r="E35" s="70"/>
      <c r="F35" s="71"/>
      <c r="G35" s="71"/>
      <c r="H35" s="71"/>
      <c r="I35" s="71"/>
      <c r="J35" s="71"/>
    </row>
    <row r="44" spans="1:18">
      <c r="M44" s="2"/>
      <c r="N44" s="2"/>
      <c r="O44" s="2"/>
      <c r="P44" s="2"/>
      <c r="R44" s="2"/>
    </row>
  </sheetData>
  <phoneticPr fontId="8" type="noConversion"/>
  <pageMargins left="0.7" right="0.7" top="0.75" bottom="0.75" header="0.3" footer="0.3"/>
  <pageSetup scale="8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D92"/>
  <sheetViews>
    <sheetView topLeftCell="A2" workbookViewId="0">
      <pane ySplit="8" topLeftCell="A10" activePane="bottomLeft" state="frozen"/>
      <selection activeCell="H13" sqref="H13"/>
      <selection pane="bottomLeft"/>
    </sheetView>
  </sheetViews>
  <sheetFormatPr defaultColWidth="8.85546875" defaultRowHeight="15"/>
  <cols>
    <col min="1" max="1" width="1.7109375" style="26" customWidth="1"/>
    <col min="2" max="2" width="7.7109375" style="27" customWidth="1"/>
    <col min="3" max="3" width="13" style="27" customWidth="1"/>
    <col min="4" max="4" width="13.42578125" style="27" customWidth="1"/>
    <col min="5" max="5" width="18.28515625" style="27" customWidth="1"/>
    <col min="6" max="6" width="13.7109375" style="27" customWidth="1"/>
    <col min="7" max="7" width="15.7109375" style="27" customWidth="1"/>
    <col min="8" max="8" width="18.7109375" style="27" customWidth="1"/>
    <col min="9" max="9" width="16.7109375" style="27" customWidth="1"/>
    <col min="10" max="10" width="16.28515625" style="27" customWidth="1"/>
    <col min="11" max="11" width="15" style="27" customWidth="1"/>
    <col min="12" max="12" width="11.42578125" style="28" customWidth="1"/>
    <col min="13" max="13" width="9.85546875" style="29" customWidth="1"/>
    <col min="14" max="14" width="12.28515625" style="27" customWidth="1"/>
    <col min="15" max="15" width="11.140625" style="27" customWidth="1"/>
    <col min="16" max="16" width="8.7109375" style="27" customWidth="1"/>
    <col min="17" max="17" width="8.140625" style="207" customWidth="1"/>
    <col min="18" max="18" width="2.42578125" style="27" customWidth="1"/>
    <col min="19" max="19" width="10.42578125" style="27" customWidth="1"/>
    <col min="20" max="20" width="8.42578125" style="27" customWidth="1"/>
    <col min="21" max="21" width="8" style="27" customWidth="1"/>
    <col min="22" max="22" width="10.42578125" style="27" customWidth="1"/>
    <col min="23" max="23" width="10.28515625" style="26" customWidth="1"/>
    <col min="24" max="25" width="8.85546875" style="26"/>
    <col min="26" max="27" width="9.140625" style="26" bestFit="1" customWidth="1"/>
    <col min="28" max="28" width="12.7109375" style="26" customWidth="1"/>
    <col min="29" max="29" width="8.85546875" style="26"/>
    <col min="30" max="30" width="15.42578125" style="26" customWidth="1"/>
    <col min="31" max="31" width="14.85546875" style="26" customWidth="1"/>
    <col min="32" max="32" width="15.42578125" style="26" customWidth="1"/>
    <col min="33" max="33" width="13.42578125" style="26" customWidth="1"/>
    <col min="34" max="16384" width="8.85546875" style="26"/>
  </cols>
  <sheetData>
    <row r="1" spans="1:28">
      <c r="S1" s="368"/>
      <c r="T1" s="370"/>
      <c r="U1" s="369"/>
      <c r="V1" s="368"/>
      <c r="W1" s="369"/>
    </row>
    <row r="2" spans="1:28">
      <c r="S2" s="202"/>
      <c r="T2" s="202"/>
      <c r="U2" s="202"/>
      <c r="V2" s="202"/>
      <c r="W2" s="202"/>
    </row>
    <row r="3" spans="1:28">
      <c r="S3" s="202"/>
      <c r="T3" s="202"/>
      <c r="U3" s="202"/>
      <c r="V3" s="202"/>
      <c r="W3" s="202"/>
    </row>
    <row r="4" spans="1:28">
      <c r="S4" s="202"/>
      <c r="T4" s="202"/>
      <c r="U4" s="202"/>
      <c r="V4" s="202"/>
      <c r="W4" s="202"/>
    </row>
    <row r="8" spans="1:28">
      <c r="B8" s="371" t="s">
        <v>55</v>
      </c>
      <c r="C8" s="372"/>
      <c r="D8" s="373"/>
      <c r="E8" s="377" t="s">
        <v>255</v>
      </c>
      <c r="F8" s="378"/>
      <c r="G8" s="378"/>
      <c r="H8" s="379"/>
      <c r="I8" s="375" t="s">
        <v>56</v>
      </c>
      <c r="J8" s="375"/>
      <c r="K8" s="375"/>
      <c r="L8" s="376" t="s">
        <v>268</v>
      </c>
      <c r="M8" s="376"/>
      <c r="N8" s="376"/>
      <c r="O8" s="376"/>
      <c r="P8" s="376"/>
      <c r="Q8" s="376"/>
      <c r="R8" s="26"/>
      <c r="S8" s="374" t="s">
        <v>263</v>
      </c>
      <c r="T8" s="374"/>
      <c r="U8" s="374"/>
      <c r="V8" s="374"/>
      <c r="W8" s="374"/>
      <c r="X8" s="374"/>
      <c r="Y8" s="374"/>
      <c r="Z8" s="374"/>
      <c r="AA8" s="374"/>
      <c r="AB8" s="374"/>
    </row>
    <row r="9" spans="1:28" ht="75">
      <c r="B9" s="30" t="s">
        <v>65</v>
      </c>
      <c r="C9" s="30" t="s">
        <v>345</v>
      </c>
      <c r="D9" s="31" t="s">
        <v>346</v>
      </c>
      <c r="E9" s="348" t="s">
        <v>351</v>
      </c>
      <c r="F9" s="32" t="s">
        <v>0</v>
      </c>
      <c r="G9" s="32" t="s">
        <v>1</v>
      </c>
      <c r="H9" s="33" t="s">
        <v>66</v>
      </c>
      <c r="I9" s="34" t="s">
        <v>2</v>
      </c>
      <c r="J9" s="34" t="s">
        <v>3</v>
      </c>
      <c r="K9" s="34" t="s">
        <v>259</v>
      </c>
      <c r="L9" s="123" t="s">
        <v>267</v>
      </c>
      <c r="M9" s="124" t="s">
        <v>284</v>
      </c>
      <c r="N9" s="35" t="s">
        <v>305</v>
      </c>
      <c r="O9" s="35" t="s">
        <v>293</v>
      </c>
      <c r="P9" s="203" t="s">
        <v>350</v>
      </c>
      <c r="Q9" s="208" t="s">
        <v>349</v>
      </c>
      <c r="R9" s="36"/>
      <c r="S9" s="104" t="s">
        <v>264</v>
      </c>
      <c r="T9" s="104" t="s">
        <v>265</v>
      </c>
      <c r="U9" s="104" t="s">
        <v>266</v>
      </c>
      <c r="V9" s="108" t="s">
        <v>57</v>
      </c>
      <c r="W9" s="108" t="s">
        <v>58</v>
      </c>
      <c r="X9" s="108" t="s">
        <v>59</v>
      </c>
      <c r="Y9" s="104" t="s">
        <v>342</v>
      </c>
      <c r="Z9" s="104" t="s">
        <v>343</v>
      </c>
      <c r="AA9" s="104" t="s">
        <v>344</v>
      </c>
      <c r="AB9" s="110" t="s">
        <v>273</v>
      </c>
    </row>
    <row r="10" spans="1:28">
      <c r="A10" s="37"/>
      <c r="B10" s="38" t="s">
        <v>14</v>
      </c>
      <c r="C10" s="39" t="s">
        <v>118</v>
      </c>
      <c r="D10" s="40" t="s">
        <v>102</v>
      </c>
      <c r="E10" s="41" t="s">
        <v>7</v>
      </c>
      <c r="F10" s="41" t="s">
        <v>7</v>
      </c>
      <c r="G10" s="42" t="s">
        <v>84</v>
      </c>
      <c r="H10" s="43" t="s">
        <v>60</v>
      </c>
      <c r="I10" s="44" t="s">
        <v>4</v>
      </c>
      <c r="J10" s="45" t="s">
        <v>64</v>
      </c>
      <c r="K10" s="45" t="s">
        <v>236</v>
      </c>
      <c r="L10" s="127">
        <v>22523</v>
      </c>
      <c r="M10" s="128">
        <v>15788.99</v>
      </c>
      <c r="N10" s="46">
        <v>266240</v>
      </c>
      <c r="O10" s="47">
        <v>26335.49</v>
      </c>
      <c r="P10" s="204"/>
      <c r="Q10" s="209"/>
      <c r="R10" s="26"/>
      <c r="S10" s="200">
        <f t="shared" ref="S10:S41" si="0">L10*0.1*53.02*0.001</f>
        <v>119.41694600000001</v>
      </c>
      <c r="T10" s="105">
        <f>L10*0.1*0.005*0.001*Reference!$F$7</f>
        <v>0.23649150000000005</v>
      </c>
      <c r="U10" s="105">
        <f>L10*0.1*0.0001*0.001*Reference!$F$8</f>
        <v>6.9821300000000017E-2</v>
      </c>
      <c r="V10" s="201">
        <f>(N10*Reference!$C$6/1000)/2204.62</f>
        <v>75.477860130090448</v>
      </c>
      <c r="W10" s="109">
        <f>(N10/1000*0.02482)/2204.62*Reference!$F$7</f>
        <v>6.2944912411209183E-2</v>
      </c>
      <c r="X10" s="109">
        <f>(N10/1000*0.01119)/2204.62*Reference!$F$8</f>
        <v>0.41892023840843323</v>
      </c>
      <c r="Y10" s="105">
        <f t="shared" ref="Y10:Y41" si="1">(P10*0.0916)*61.46*0.001</f>
        <v>0</v>
      </c>
      <c r="Z10" s="285">
        <f>(P10*0.0916)*3*0.000001*Reference!$F$7</f>
        <v>0</v>
      </c>
      <c r="AA10" s="285">
        <f>(P10*0.0961)*0.6*0.000001*Reference!$F$8</f>
        <v>0</v>
      </c>
      <c r="AB10" s="111">
        <f t="shared" ref="AB10:AB41" si="2">SUM(S10:AA10)</f>
        <v>195.6829840809101</v>
      </c>
    </row>
    <row r="11" spans="1:28">
      <c r="A11" s="48"/>
      <c r="B11" s="38" t="s">
        <v>14</v>
      </c>
      <c r="C11" s="39" t="s">
        <v>96</v>
      </c>
      <c r="D11" s="54"/>
      <c r="E11" s="55" t="s">
        <v>75</v>
      </c>
      <c r="F11" s="55" t="s">
        <v>75</v>
      </c>
      <c r="G11" s="55" t="s">
        <v>86</v>
      </c>
      <c r="H11" s="43" t="s">
        <v>254</v>
      </c>
      <c r="I11" s="57" t="s">
        <v>4</v>
      </c>
      <c r="J11" s="57" t="s">
        <v>64</v>
      </c>
      <c r="K11" s="45" t="s">
        <v>236</v>
      </c>
      <c r="L11" s="129"/>
      <c r="M11" s="128"/>
      <c r="N11" s="46">
        <v>32946</v>
      </c>
      <c r="O11" s="47">
        <v>3394.57</v>
      </c>
      <c r="P11" s="205"/>
      <c r="Q11" s="209"/>
      <c r="R11" s="26"/>
      <c r="S11" s="200">
        <f t="shared" si="0"/>
        <v>0</v>
      </c>
      <c r="T11" s="105">
        <f>L11*0.1*0.005*0.001*Reference!$F$7</f>
        <v>0</v>
      </c>
      <c r="U11" s="105">
        <f>L11*0.1*0.0001*0.001*Reference!$F$8</f>
        <v>0</v>
      </c>
      <c r="V11" s="201">
        <f>(N11*Reference!$C$6/1000)/2204.62</f>
        <v>9.3400449964166157</v>
      </c>
      <c r="W11" s="109">
        <f>(N11/1000*0.02482)/2204.62*Reference!$F$7</f>
        <v>7.78914920485163E-3</v>
      </c>
      <c r="X11" s="109">
        <f>(N11/1000*0.01119)/2204.62*Reference!$F$8</f>
        <v>5.1839491340911356E-2</v>
      </c>
      <c r="Y11" s="105">
        <f t="shared" si="1"/>
        <v>0</v>
      </c>
      <c r="Z11" s="285">
        <f>(P11*0.0916)*3*0.000001*Reference!$F$7</f>
        <v>0</v>
      </c>
      <c r="AA11" s="285">
        <f>(P11*0.0961)*0.6*0.000001*Reference!$F$8</f>
        <v>0</v>
      </c>
      <c r="AB11" s="111">
        <f t="shared" si="2"/>
        <v>9.3996736369623797</v>
      </c>
    </row>
    <row r="12" spans="1:28">
      <c r="A12" s="48"/>
      <c r="B12" s="38" t="s">
        <v>14</v>
      </c>
      <c r="C12" s="40" t="s">
        <v>128</v>
      </c>
      <c r="D12" s="54"/>
      <c r="E12" s="55" t="s">
        <v>75</v>
      </c>
      <c r="F12" s="55" t="s">
        <v>75</v>
      </c>
      <c r="G12" s="55" t="s">
        <v>86</v>
      </c>
      <c r="H12" s="43" t="s">
        <v>254</v>
      </c>
      <c r="I12" s="44" t="s">
        <v>4</v>
      </c>
      <c r="J12" s="45" t="s">
        <v>64</v>
      </c>
      <c r="K12" s="45" t="s">
        <v>236</v>
      </c>
      <c r="L12" s="129"/>
      <c r="M12" s="128"/>
      <c r="N12" s="103">
        <v>0</v>
      </c>
      <c r="O12" s="51">
        <v>255.08</v>
      </c>
      <c r="P12" s="205"/>
      <c r="Q12" s="209"/>
      <c r="R12" s="26"/>
      <c r="S12" s="200">
        <f t="shared" si="0"/>
        <v>0</v>
      </c>
      <c r="T12" s="105">
        <f>L12*0.1*0.005*0.001*Reference!$F$7</f>
        <v>0</v>
      </c>
      <c r="U12" s="105">
        <f>L12*0.1*0.0001*0.001*Reference!$F$8</f>
        <v>0</v>
      </c>
      <c r="V12" s="201">
        <f>(N12*Reference!$C$6/1000)/2204.62</f>
        <v>0</v>
      </c>
      <c r="W12" s="109">
        <f>(N12/1000*0.02482)/2204.62*Reference!$F$7</f>
        <v>0</v>
      </c>
      <c r="X12" s="109">
        <f>(N12/1000*0.01119)/2204.62*Reference!$F$8</f>
        <v>0</v>
      </c>
      <c r="Y12" s="105">
        <f t="shared" si="1"/>
        <v>0</v>
      </c>
      <c r="Z12" s="285">
        <f>(P12*0.0916)*3*0.000001*Reference!$F$7</f>
        <v>0</v>
      </c>
      <c r="AA12" s="285">
        <f>(P12*0.0961)*0.6*0.000001*Reference!$F$8</f>
        <v>0</v>
      </c>
      <c r="AB12" s="111">
        <f t="shared" si="2"/>
        <v>0</v>
      </c>
    </row>
    <row r="13" spans="1:28">
      <c r="A13" s="48"/>
      <c r="B13" s="38" t="s">
        <v>14</v>
      </c>
      <c r="C13" s="39" t="s">
        <v>94</v>
      </c>
      <c r="D13" s="52" t="s">
        <v>94</v>
      </c>
      <c r="E13" s="55" t="s">
        <v>75</v>
      </c>
      <c r="F13" s="41" t="s">
        <v>77</v>
      </c>
      <c r="G13" s="42" t="s">
        <v>86</v>
      </c>
      <c r="H13" s="43" t="s">
        <v>254</v>
      </c>
      <c r="I13" s="44" t="s">
        <v>4</v>
      </c>
      <c r="J13" s="45" t="s">
        <v>64</v>
      </c>
      <c r="K13" s="45" t="s">
        <v>236</v>
      </c>
      <c r="L13" s="130">
        <v>2112</v>
      </c>
      <c r="M13" s="131">
        <v>1976.46</v>
      </c>
      <c r="N13" s="167">
        <v>0</v>
      </c>
      <c r="O13" s="47">
        <v>255.08</v>
      </c>
      <c r="P13" s="206"/>
      <c r="Q13" s="209"/>
      <c r="R13" s="26"/>
      <c r="S13" s="200">
        <f>L13*0.1*53.02*0.001</f>
        <v>11.197824000000002</v>
      </c>
      <c r="T13" s="105">
        <f>L13*0.1*0.005*0.001*Reference!$F$7</f>
        <v>2.2176000000000001E-2</v>
      </c>
      <c r="U13" s="105">
        <f>L13*0.1*0.0001*0.001*Reference!$F$8</f>
        <v>6.5472000000000013E-3</v>
      </c>
      <c r="V13" s="201">
        <f>(N13*Reference!$C$6/1000)/2204.62</f>
        <v>0</v>
      </c>
      <c r="W13" s="109">
        <f>(N13/1000*0.02482)/2204.62*Reference!$F$7</f>
        <v>0</v>
      </c>
      <c r="X13" s="109">
        <f>(N13/1000*0.01119)/2204.62*Reference!$F$8</f>
        <v>0</v>
      </c>
      <c r="Y13" s="105">
        <f t="shared" si="1"/>
        <v>0</v>
      </c>
      <c r="Z13" s="285">
        <f>(P13*0.0916)*3*0.000001*Reference!$F$7</f>
        <v>0</v>
      </c>
      <c r="AA13" s="285">
        <f>(P13*0.0961)*0.6*0.000001*Reference!$F$8</f>
        <v>0</v>
      </c>
      <c r="AB13" s="111">
        <f t="shared" si="2"/>
        <v>11.226547200000002</v>
      </c>
    </row>
    <row r="14" spans="1:28">
      <c r="A14" s="48"/>
      <c r="B14" s="38" t="s">
        <v>14</v>
      </c>
      <c r="C14" s="40" t="s">
        <v>95</v>
      </c>
      <c r="D14" s="54"/>
      <c r="E14" s="55" t="s">
        <v>75</v>
      </c>
      <c r="F14" s="55" t="s">
        <v>129</v>
      </c>
      <c r="G14" s="55" t="s">
        <v>86</v>
      </c>
      <c r="H14" s="43" t="s">
        <v>254</v>
      </c>
      <c r="I14" s="44" t="s">
        <v>4</v>
      </c>
      <c r="J14" s="45" t="s">
        <v>64</v>
      </c>
      <c r="K14" s="45" t="s">
        <v>243</v>
      </c>
      <c r="L14" s="129"/>
      <c r="M14" s="128"/>
      <c r="N14" s="50">
        <v>56320</v>
      </c>
      <c r="O14" s="51">
        <v>5491.67</v>
      </c>
      <c r="P14" s="205"/>
      <c r="Q14" s="209"/>
      <c r="R14" s="26"/>
      <c r="S14" s="200">
        <f t="shared" si="0"/>
        <v>0</v>
      </c>
      <c r="T14" s="105">
        <f>L14*0.1*0.005*0.001*Reference!$F$7</f>
        <v>0</v>
      </c>
      <c r="U14" s="105">
        <f>L14*0.1*0.0001*0.001*Reference!$F$8</f>
        <v>0</v>
      </c>
      <c r="V14" s="201">
        <f>(N14*Reference!$C$6/1000)/2204.62</f>
        <v>15.966470412134518</v>
      </c>
      <c r="W14" s="109">
        <f>(N14/1000*0.02482)/2204.62*Reference!$F$7</f>
        <v>1.3315269933140406E-2</v>
      </c>
      <c r="X14" s="109">
        <f>(N14/1000*0.01119)/2204.62*Reference!$F$8</f>
        <v>8.8617742740245489E-2</v>
      </c>
      <c r="Y14" s="105">
        <f t="shared" si="1"/>
        <v>0</v>
      </c>
      <c r="Z14" s="285">
        <f>(P14*0.0916)*3*0.000001*Reference!$F$7</f>
        <v>0</v>
      </c>
      <c r="AA14" s="285">
        <f>(P14*0.0961)*0.6*0.000001*Reference!$F$8</f>
        <v>0</v>
      </c>
      <c r="AB14" s="111">
        <f t="shared" si="2"/>
        <v>16.068403424807904</v>
      </c>
    </row>
    <row r="15" spans="1:28">
      <c r="A15" s="48"/>
      <c r="B15" s="38" t="s">
        <v>14</v>
      </c>
      <c r="C15" s="39" t="s">
        <v>104</v>
      </c>
      <c r="D15" s="40" t="s">
        <v>104</v>
      </c>
      <c r="E15" s="55" t="s">
        <v>75</v>
      </c>
      <c r="F15" s="41" t="s">
        <v>78</v>
      </c>
      <c r="G15" s="42" t="s">
        <v>86</v>
      </c>
      <c r="H15" s="43" t="s">
        <v>254</v>
      </c>
      <c r="I15" s="44" t="s">
        <v>4</v>
      </c>
      <c r="J15" s="45" t="s">
        <v>64</v>
      </c>
      <c r="K15" s="45" t="s">
        <v>243</v>
      </c>
      <c r="L15" s="129">
        <v>31060</v>
      </c>
      <c r="M15" s="128">
        <v>21141.45</v>
      </c>
      <c r="N15" s="46">
        <v>20835</v>
      </c>
      <c r="O15" s="47">
        <v>2915.85</v>
      </c>
      <c r="P15" s="210">
        <v>3.5</v>
      </c>
      <c r="Q15" s="211">
        <v>6.06</v>
      </c>
      <c r="R15" s="26"/>
      <c r="S15" s="200">
        <f t="shared" si="0"/>
        <v>164.68011999999999</v>
      </c>
      <c r="T15" s="105">
        <f>L15*0.1*0.005*0.001*Reference!$F$7</f>
        <v>0.32613000000000003</v>
      </c>
      <c r="U15" s="105">
        <f>L15*0.1*0.0001*0.001*Reference!$F$8</f>
        <v>9.628600000000001E-2</v>
      </c>
      <c r="V15" s="201">
        <f>(N15*Reference!$C$6/1000)/2204.62</f>
        <v>5.9066301675572213</v>
      </c>
      <c r="W15" s="109">
        <f>(N15/1000*0.02482)/2204.62*Reference!$F$7</f>
        <v>4.9258460414946794E-3</v>
      </c>
      <c r="X15" s="109">
        <f>(N15/1000*0.01119)/2204.62*Reference!$F$8</f>
        <v>3.2783215021182789E-2</v>
      </c>
      <c r="Y15" s="105">
        <f t="shared" si="1"/>
        <v>1.9704076000000001E-2</v>
      </c>
      <c r="Z15" s="285">
        <f>(P15*0.0916)*3*0.000001*Reference!$F$7</f>
        <v>2.0197800000000002E-5</v>
      </c>
      <c r="AA15" s="285">
        <f>(P15*0.0961)*0.6*0.000001*Reference!$F$8</f>
        <v>6.2561100000000007E-5</v>
      </c>
      <c r="AB15" s="111">
        <f t="shared" si="2"/>
        <v>171.06666206351989</v>
      </c>
    </row>
    <row r="16" spans="1:28">
      <c r="A16" s="48"/>
      <c r="B16" s="38" t="s">
        <v>14</v>
      </c>
      <c r="C16" s="39" t="s">
        <v>107</v>
      </c>
      <c r="D16" s="40" t="s">
        <v>107</v>
      </c>
      <c r="E16" s="41" t="s">
        <v>75</v>
      </c>
      <c r="F16" s="41" t="s">
        <v>80</v>
      </c>
      <c r="G16" s="42" t="s">
        <v>155</v>
      </c>
      <c r="H16" s="43" t="s">
        <v>254</v>
      </c>
      <c r="I16" s="44" t="s">
        <v>4</v>
      </c>
      <c r="J16" s="45" t="s">
        <v>64</v>
      </c>
      <c r="K16" s="45" t="s">
        <v>243</v>
      </c>
      <c r="L16" s="125">
        <v>819</v>
      </c>
      <c r="M16" s="126">
        <v>944.16</v>
      </c>
      <c r="N16" s="46">
        <v>15919</v>
      </c>
      <c r="O16" s="47">
        <v>2242.8200000000002</v>
      </c>
      <c r="P16" s="206"/>
      <c r="Q16" s="209"/>
      <c r="R16" s="26"/>
      <c r="S16" s="200">
        <f t="shared" si="0"/>
        <v>4.3423380000000007</v>
      </c>
      <c r="T16" s="105">
        <f>L16*0.1*0.005*0.001*Reference!$F$7</f>
        <v>8.5995000000000012E-3</v>
      </c>
      <c r="U16" s="105">
        <f>L16*0.1*0.0001*0.001*Reference!$F$8</f>
        <v>2.5389000000000002E-3</v>
      </c>
      <c r="V16" s="201">
        <f>(N16*Reference!$C$6/1000)/2204.62</f>
        <v>4.5129659533162183</v>
      </c>
      <c r="W16" s="109">
        <f>(N16/1000*0.02482)/2204.62*Reference!$F$7</f>
        <v>3.7635969826999662E-3</v>
      </c>
      <c r="X16" s="109">
        <f>(N16/1000*0.01119)/2204.62*Reference!$F$8</f>
        <v>2.5048044152733807E-2</v>
      </c>
      <c r="Y16" s="105">
        <f t="shared" si="1"/>
        <v>0</v>
      </c>
      <c r="Z16" s="285">
        <f>(P16*0.0916)*3*0.000001*Reference!$F$7</f>
        <v>0</v>
      </c>
      <c r="AA16" s="285">
        <f>(P16*0.0961)*0.6*0.000001*Reference!$F$8</f>
        <v>0</v>
      </c>
      <c r="AB16" s="111">
        <f t="shared" si="2"/>
        <v>8.8952539944516538</v>
      </c>
    </row>
    <row r="17" spans="1:30">
      <c r="A17" s="48"/>
      <c r="B17" s="38" t="s">
        <v>14</v>
      </c>
      <c r="C17" s="39" t="s">
        <v>99</v>
      </c>
      <c r="D17" s="52" t="s">
        <v>99</v>
      </c>
      <c r="E17" s="349" t="s">
        <v>63</v>
      </c>
      <c r="F17" s="41" t="s">
        <v>63</v>
      </c>
      <c r="G17" s="42"/>
      <c r="H17" s="43" t="s">
        <v>67</v>
      </c>
      <c r="I17" s="44" t="s">
        <v>4</v>
      </c>
      <c r="J17" s="45" t="s">
        <v>5</v>
      </c>
      <c r="K17" s="45" t="s">
        <v>5</v>
      </c>
      <c r="L17" s="130">
        <v>8676</v>
      </c>
      <c r="M17" s="131">
        <v>6464.46</v>
      </c>
      <c r="N17" s="46">
        <v>61487</v>
      </c>
      <c r="O17" s="47">
        <v>7239.78</v>
      </c>
      <c r="P17" s="206"/>
      <c r="Q17" s="209"/>
      <c r="R17" s="26"/>
      <c r="S17" s="200">
        <f t="shared" si="0"/>
        <v>46.000152</v>
      </c>
      <c r="T17" s="105">
        <f>L17*0.1*0.005*0.001*Reference!$F$7</f>
        <v>9.1097999999999998E-2</v>
      </c>
      <c r="U17" s="105">
        <f>L17*0.1*0.0001*0.001*Reference!$F$8</f>
        <v>2.6895600000000002E-2</v>
      </c>
      <c r="V17" s="201">
        <f>(N17*Reference!$C$6/1000)/2204.62</f>
        <v>17.431292014043237</v>
      </c>
      <c r="W17" s="109">
        <f>(N17/1000*0.02482)/2204.62*Reference!$F$7</f>
        <v>1.4536860837695387E-2</v>
      </c>
      <c r="X17" s="109">
        <f>(N17/1000*0.01119)/2204.62*Reference!$F$8</f>
        <v>9.6747854188023355E-2</v>
      </c>
      <c r="Y17" s="105">
        <f t="shared" si="1"/>
        <v>0</v>
      </c>
      <c r="Z17" s="285">
        <f>(P17*0.0916)*3*0.000001*Reference!$F$7</f>
        <v>0</v>
      </c>
      <c r="AA17" s="285">
        <f>(P17*0.0961)*0.6*0.000001*Reference!$F$8</f>
        <v>0</v>
      </c>
      <c r="AB17" s="111">
        <f t="shared" si="2"/>
        <v>63.66072232906896</v>
      </c>
    </row>
    <row r="18" spans="1:30">
      <c r="A18" s="48"/>
      <c r="B18" s="38" t="s">
        <v>14</v>
      </c>
      <c r="C18" s="39" t="s">
        <v>100</v>
      </c>
      <c r="D18" s="52" t="s">
        <v>100</v>
      </c>
      <c r="E18" s="349" t="s">
        <v>63</v>
      </c>
      <c r="F18" s="41" t="s">
        <v>63</v>
      </c>
      <c r="G18" s="42"/>
      <c r="H18" s="43" t="s">
        <v>67</v>
      </c>
      <c r="I18" s="44" t="s">
        <v>4</v>
      </c>
      <c r="J18" s="45" t="s">
        <v>5</v>
      </c>
      <c r="K18" s="45" t="s">
        <v>5</v>
      </c>
      <c r="L18" s="130">
        <v>4850</v>
      </c>
      <c r="M18" s="131">
        <v>3860.35</v>
      </c>
      <c r="N18" s="46">
        <v>20736</v>
      </c>
      <c r="O18" s="47">
        <v>2842.23</v>
      </c>
      <c r="P18" s="206"/>
      <c r="Q18" s="209"/>
      <c r="R18" s="26"/>
      <c r="S18" s="200">
        <f t="shared" si="0"/>
        <v>25.714700000000001</v>
      </c>
      <c r="T18" s="105">
        <f>L18*0.1*0.005*0.001*Reference!$F$7</f>
        <v>5.0925000000000012E-2</v>
      </c>
      <c r="U18" s="105">
        <f>L18*0.1*0.0001*0.001*Reference!$F$8</f>
        <v>1.5035E-2</v>
      </c>
      <c r="V18" s="201">
        <f>(N18*Reference!$C$6/1000)/2204.62</f>
        <v>5.8785641062858911</v>
      </c>
      <c r="W18" s="109">
        <f>(N18/1000*0.02482)/2204.62*Reference!$F$7</f>
        <v>4.902440293565331E-3</v>
      </c>
      <c r="X18" s="109">
        <f>(N18/1000*0.01119)/2204.62*Reference!$F$8</f>
        <v>3.2627441645272204E-2</v>
      </c>
      <c r="Y18" s="105">
        <f t="shared" si="1"/>
        <v>0</v>
      </c>
      <c r="Z18" s="285">
        <f>(P18*0.0916)*3*0.000001*Reference!$F$7</f>
        <v>0</v>
      </c>
      <c r="AA18" s="285">
        <f>(P18*0.0961)*0.6*0.000001*Reference!$F$8</f>
        <v>0</v>
      </c>
      <c r="AB18" s="111">
        <f t="shared" si="2"/>
        <v>31.696753988224728</v>
      </c>
      <c r="AD18" s="56"/>
    </row>
    <row r="19" spans="1:30">
      <c r="A19" s="48"/>
      <c r="B19" s="38" t="s">
        <v>14</v>
      </c>
      <c r="C19" s="39" t="s">
        <v>101</v>
      </c>
      <c r="D19" s="40" t="s">
        <v>106</v>
      </c>
      <c r="E19" s="349" t="s">
        <v>63</v>
      </c>
      <c r="F19" s="41" t="s">
        <v>79</v>
      </c>
      <c r="G19" s="42" t="s">
        <v>89</v>
      </c>
      <c r="H19" s="43" t="s">
        <v>67</v>
      </c>
      <c r="I19" s="44" t="s">
        <v>4</v>
      </c>
      <c r="J19" s="45" t="s">
        <v>5</v>
      </c>
      <c r="K19" s="45" t="s">
        <v>5</v>
      </c>
      <c r="L19" s="125">
        <v>2608</v>
      </c>
      <c r="M19" s="126">
        <v>2282.5</v>
      </c>
      <c r="N19" s="46">
        <v>32196</v>
      </c>
      <c r="O19" s="47">
        <v>4240.78</v>
      </c>
      <c r="P19" s="206"/>
      <c r="Q19" s="209"/>
      <c r="R19" s="26"/>
      <c r="S19" s="200">
        <f t="shared" si="0"/>
        <v>13.827616000000003</v>
      </c>
      <c r="T19" s="105">
        <f>L19*0.1*0.005*0.001*Reference!$F$7</f>
        <v>2.7384000000000002E-2</v>
      </c>
      <c r="U19" s="105">
        <f>L19*0.1*0.0001*0.001*Reference!$F$8</f>
        <v>8.0848000000000014E-3</v>
      </c>
      <c r="V19" s="201">
        <f>(N19*Reference!$C$6/1000)/2204.62</f>
        <v>9.1274233201186608</v>
      </c>
      <c r="W19" s="109">
        <f>(N19/1000*0.02482)/2204.62*Reference!$F$7</f>
        <v>7.6118329326595961E-3</v>
      </c>
      <c r="X19" s="109">
        <f>(N19/1000*0.01119)/2204.62*Reference!$F$8</f>
        <v>5.0659390008255395E-2</v>
      </c>
      <c r="Y19" s="105">
        <f t="shared" si="1"/>
        <v>0</v>
      </c>
      <c r="Z19" s="285">
        <f>(P19*0.0916)*3*0.000001*Reference!$F$7</f>
        <v>0</v>
      </c>
      <c r="AA19" s="285">
        <f>(P19*0.0961)*0.6*0.000001*Reference!$F$8</f>
        <v>0</v>
      </c>
      <c r="AB19" s="111">
        <f t="shared" si="2"/>
        <v>23.048779343059579</v>
      </c>
    </row>
    <row r="20" spans="1:30">
      <c r="A20" s="48"/>
      <c r="B20" s="38" t="s">
        <v>14</v>
      </c>
      <c r="C20" s="39" t="s">
        <v>108</v>
      </c>
      <c r="D20" s="40" t="s">
        <v>108</v>
      </c>
      <c r="E20" s="58" t="s">
        <v>81</v>
      </c>
      <c r="F20" s="58" t="s">
        <v>81</v>
      </c>
      <c r="G20" s="42" t="s">
        <v>145</v>
      </c>
      <c r="H20" s="43" t="s">
        <v>60</v>
      </c>
      <c r="I20" s="44" t="s">
        <v>4</v>
      </c>
      <c r="J20" s="196" t="s">
        <v>245</v>
      </c>
      <c r="K20" s="197" t="s">
        <v>239</v>
      </c>
      <c r="L20" s="125">
        <v>15615</v>
      </c>
      <c r="M20" s="126">
        <v>11112.51</v>
      </c>
      <c r="N20" s="46">
        <v>193280</v>
      </c>
      <c r="O20" s="47">
        <v>20542.79</v>
      </c>
      <c r="P20" s="206"/>
      <c r="Q20" s="209"/>
      <c r="R20" s="26"/>
      <c r="S20" s="200">
        <f t="shared" si="0"/>
        <v>82.790730000000011</v>
      </c>
      <c r="T20" s="105">
        <f>L20*0.1*0.005*0.001*Reference!$F$7</f>
        <v>0.16395750000000001</v>
      </c>
      <c r="U20" s="105">
        <f>L20*0.1*0.0001*0.001*Reference!$F$8</f>
        <v>4.8406499999999998E-2</v>
      </c>
      <c r="V20" s="201">
        <f>(N20*Reference!$C$6/1000)/2204.62</f>
        <v>54.794023459825276</v>
      </c>
      <c r="W20" s="109">
        <f>(N20/1000*0.02482)/2204.62*Reference!$F$7</f>
        <v>4.5695585452368209E-2</v>
      </c>
      <c r="X20" s="109">
        <f>(N20/1000*0.01119)/2204.62*Reference!$F$8</f>
        <v>0.30411998076766067</v>
      </c>
      <c r="Y20" s="105">
        <f t="shared" si="1"/>
        <v>0</v>
      </c>
      <c r="Z20" s="285">
        <f>(P20*0.0916)*3*0.000001*Reference!$F$7</f>
        <v>0</v>
      </c>
      <c r="AA20" s="285">
        <f>(P20*0.0961)*0.6*0.000001*Reference!$F$8</f>
        <v>0</v>
      </c>
      <c r="AB20" s="111">
        <f t="shared" si="2"/>
        <v>138.1469330260453</v>
      </c>
      <c r="AD20" s="56"/>
    </row>
    <row r="21" spans="1:30">
      <c r="A21" s="48"/>
      <c r="B21" s="38" t="s">
        <v>14</v>
      </c>
      <c r="C21" s="40" t="s">
        <v>144</v>
      </c>
      <c r="D21" s="54"/>
      <c r="E21" s="55" t="s">
        <v>81</v>
      </c>
      <c r="F21" s="55" t="s">
        <v>81</v>
      </c>
      <c r="G21" s="55" t="s">
        <v>145</v>
      </c>
      <c r="H21" s="43" t="s">
        <v>60</v>
      </c>
      <c r="I21" s="57" t="s">
        <v>4</v>
      </c>
      <c r="J21" s="196" t="s">
        <v>245</v>
      </c>
      <c r="K21" s="197" t="s">
        <v>239</v>
      </c>
      <c r="L21" s="129"/>
      <c r="M21" s="128"/>
      <c r="N21" s="50">
        <v>16520</v>
      </c>
      <c r="O21" s="51">
        <v>2953.57</v>
      </c>
      <c r="P21" s="205"/>
      <c r="Q21" s="209"/>
      <c r="R21" s="26"/>
      <c r="S21" s="200">
        <f t="shared" si="0"/>
        <v>0</v>
      </c>
      <c r="T21" s="105">
        <f>L21*0.1*0.005*0.001*Reference!$F$7</f>
        <v>0</v>
      </c>
      <c r="U21" s="105">
        <f>L21*0.1*0.0001*0.001*Reference!$F$8</f>
        <v>0</v>
      </c>
      <c r="V21" s="201">
        <f>(N21*Reference!$C$6/1000)/2204.62</f>
        <v>4.6833467899229806</v>
      </c>
      <c r="W21" s="109">
        <f>(N21/1000*0.02482)/2204.62*Reference!$F$7</f>
        <v>3.9056864221498492E-3</v>
      </c>
      <c r="X21" s="109">
        <f>(N21/1000*0.01119)/2204.62*Reference!$F$8</f>
        <v>2.5993698687302117E-2</v>
      </c>
      <c r="Y21" s="105">
        <f t="shared" si="1"/>
        <v>0</v>
      </c>
      <c r="Z21" s="285">
        <f>(P21*0.0916)*3*0.000001*Reference!$F$7</f>
        <v>0</v>
      </c>
      <c r="AA21" s="285">
        <f>(P21*0.0961)*0.6*0.000001*Reference!$F$8</f>
        <v>0</v>
      </c>
      <c r="AB21" s="111">
        <f t="shared" si="2"/>
        <v>4.7132461750324328</v>
      </c>
    </row>
    <row r="22" spans="1:30">
      <c r="A22" s="48"/>
      <c r="B22" s="38" t="s">
        <v>14</v>
      </c>
      <c r="C22" s="40" t="s">
        <v>150</v>
      </c>
      <c r="D22" s="54"/>
      <c r="E22" s="41" t="s">
        <v>322</v>
      </c>
      <c r="F22" s="55" t="s">
        <v>151</v>
      </c>
      <c r="G22" s="55" t="s">
        <v>152</v>
      </c>
      <c r="H22" s="43" t="s">
        <v>254</v>
      </c>
      <c r="I22" s="57" t="s">
        <v>4</v>
      </c>
      <c r="J22" s="49" t="s">
        <v>233</v>
      </c>
      <c r="K22" s="45" t="s">
        <v>239</v>
      </c>
      <c r="L22" s="129"/>
      <c r="M22" s="128"/>
      <c r="N22" s="50">
        <v>4631</v>
      </c>
      <c r="O22" s="51">
        <v>833.02</v>
      </c>
      <c r="P22" s="205"/>
      <c r="Q22" s="209"/>
      <c r="R22" s="26"/>
      <c r="S22" s="200">
        <f t="shared" si="0"/>
        <v>0</v>
      </c>
      <c r="T22" s="105">
        <f>L22*0.1*0.005*0.001*Reference!$F$7</f>
        <v>0</v>
      </c>
      <c r="U22" s="105">
        <f>L22*0.1*0.0001*0.001*Reference!$F$8</f>
        <v>0</v>
      </c>
      <c r="V22" s="201">
        <f>(N22*Reference!$C$6/1000)/2204.62</f>
        <v>1.3128679772477798</v>
      </c>
      <c r="W22" s="109">
        <f>(N22/1000*0.02482)/2204.62*Reference!$F$7</f>
        <v>1.0948688753617405E-3</v>
      </c>
      <c r="X22" s="109">
        <f>(N22/1000*0.01119)/2204.62*Reference!$F$8</f>
        <v>7.2867323620397165E-3</v>
      </c>
      <c r="Y22" s="105">
        <f t="shared" si="1"/>
        <v>0</v>
      </c>
      <c r="Z22" s="285">
        <f>(P22*0.0916)*3*0.000001*Reference!$F$7</f>
        <v>0</v>
      </c>
      <c r="AA22" s="285">
        <f>(P22*0.0961)*0.6*0.000001*Reference!$F$8</f>
        <v>0</v>
      </c>
      <c r="AB22" s="111">
        <f t="shared" si="2"/>
        <v>1.3212495784851814</v>
      </c>
    </row>
    <row r="23" spans="1:30">
      <c r="A23" s="48"/>
      <c r="B23" s="38" t="s">
        <v>14</v>
      </c>
      <c r="C23" s="39" t="s">
        <v>136</v>
      </c>
      <c r="D23" s="52"/>
      <c r="E23" s="41" t="s">
        <v>322</v>
      </c>
      <c r="F23" s="41" t="s">
        <v>135</v>
      </c>
      <c r="G23" s="42" t="s">
        <v>131</v>
      </c>
      <c r="H23" s="43" t="s">
        <v>60</v>
      </c>
      <c r="I23" s="49" t="s">
        <v>4</v>
      </c>
      <c r="J23" s="49" t="s">
        <v>233</v>
      </c>
      <c r="K23" s="45" t="s">
        <v>239</v>
      </c>
      <c r="L23" s="130"/>
      <c r="M23" s="131"/>
      <c r="N23" s="46">
        <v>3395</v>
      </c>
      <c r="O23" s="47">
        <v>677.56</v>
      </c>
      <c r="P23" s="206"/>
      <c r="Q23" s="209"/>
      <c r="R23" s="26"/>
      <c r="S23" s="200">
        <f t="shared" si="0"/>
        <v>0</v>
      </c>
      <c r="T23" s="105">
        <f>L23*0.1*0.005*0.001*Reference!$F$7</f>
        <v>0</v>
      </c>
      <c r="U23" s="105">
        <f>L23*0.1*0.0001*0.001*Reference!$F$8</f>
        <v>0</v>
      </c>
      <c r="V23" s="201">
        <f>(N23*Reference!$C$6/1000)/2204.62</f>
        <v>0.96246745470874806</v>
      </c>
      <c r="W23" s="109">
        <f>(N23/1000*0.02482)/2204.62*Reference!$F$7</f>
        <v>8.0265165878926981E-4</v>
      </c>
      <c r="X23" s="109">
        <f>(N23/1000*0.01119)/2204.62*Reference!$F$8</f>
        <v>5.341925365822682E-3</v>
      </c>
      <c r="Y23" s="105">
        <f t="shared" si="1"/>
        <v>0</v>
      </c>
      <c r="Z23" s="285">
        <f>(P23*0.0916)*3*0.000001*Reference!$F$7</f>
        <v>0</v>
      </c>
      <c r="AA23" s="285">
        <f>(P23*0.0961)*0.6*0.000001*Reference!$F$8</f>
        <v>0</v>
      </c>
      <c r="AB23" s="111">
        <f t="shared" si="2"/>
        <v>0.96861203173335997</v>
      </c>
    </row>
    <row r="24" spans="1:30">
      <c r="A24" s="48"/>
      <c r="B24" s="38" t="s">
        <v>14</v>
      </c>
      <c r="C24" s="40" t="s">
        <v>130</v>
      </c>
      <c r="D24" s="54"/>
      <c r="E24" s="41" t="s">
        <v>322</v>
      </c>
      <c r="F24" s="55" t="s">
        <v>132</v>
      </c>
      <c r="G24" s="55" t="s">
        <v>131</v>
      </c>
      <c r="H24" s="43" t="s">
        <v>60</v>
      </c>
      <c r="I24" s="49" t="s">
        <v>4</v>
      </c>
      <c r="J24" s="49" t="s">
        <v>233</v>
      </c>
      <c r="K24" s="45" t="s">
        <v>239</v>
      </c>
      <c r="L24" s="129"/>
      <c r="M24" s="128"/>
      <c r="N24" s="50">
        <v>5970</v>
      </c>
      <c r="O24" s="51">
        <v>1006.82</v>
      </c>
      <c r="P24" s="205"/>
      <c r="Q24" s="209"/>
      <c r="R24" s="26"/>
      <c r="S24" s="200">
        <f t="shared" si="0"/>
        <v>0</v>
      </c>
      <c r="T24" s="105">
        <f>L24*0.1*0.005*0.001*Reference!$F$7</f>
        <v>0</v>
      </c>
      <c r="U24" s="105">
        <f>L24*0.1*0.0001*0.001*Reference!$F$8</f>
        <v>0</v>
      </c>
      <c r="V24" s="201">
        <f>(N24*Reference!$C$6/1000)/2204.62</f>
        <v>1.6924685433317308</v>
      </c>
      <c r="W24" s="109">
        <f>(N24/1000*0.02482)/2204.62*Reference!$F$7</f>
        <v>1.4114375266485834E-3</v>
      </c>
      <c r="X24" s="109">
        <f>(N24/1000*0.01119)/2204.62*Reference!$F$8</f>
        <v>9.393606607941505E-3</v>
      </c>
      <c r="Y24" s="105">
        <f t="shared" si="1"/>
        <v>0</v>
      </c>
      <c r="Z24" s="285">
        <f>(P24*0.0916)*3*0.000001*Reference!$F$7</f>
        <v>0</v>
      </c>
      <c r="AA24" s="285">
        <f>(P24*0.0961)*0.6*0.000001*Reference!$F$8</f>
        <v>0</v>
      </c>
      <c r="AB24" s="111">
        <f t="shared" si="2"/>
        <v>1.7032735874663207</v>
      </c>
    </row>
    <row r="25" spans="1:30">
      <c r="A25" s="48"/>
      <c r="B25" s="38" t="s">
        <v>14</v>
      </c>
      <c r="C25" s="40" t="s">
        <v>133</v>
      </c>
      <c r="D25" s="40"/>
      <c r="E25" s="41" t="s">
        <v>322</v>
      </c>
      <c r="F25" s="41" t="s">
        <v>132</v>
      </c>
      <c r="G25" s="42" t="s">
        <v>131</v>
      </c>
      <c r="H25" s="43" t="s">
        <v>60</v>
      </c>
      <c r="I25" s="49" t="s">
        <v>4</v>
      </c>
      <c r="J25" s="49" t="s">
        <v>233</v>
      </c>
      <c r="K25" s="45" t="s">
        <v>239</v>
      </c>
      <c r="L25" s="127"/>
      <c r="M25" s="128"/>
      <c r="N25" s="50">
        <v>367</v>
      </c>
      <c r="O25" s="51">
        <v>306.73</v>
      </c>
      <c r="P25" s="206"/>
      <c r="Q25" s="209"/>
      <c r="R25" s="26"/>
      <c r="S25" s="200">
        <f t="shared" si="0"/>
        <v>0</v>
      </c>
      <c r="T25" s="105">
        <f>L25*0.1*0.005*0.001*Reference!$F$7</f>
        <v>0</v>
      </c>
      <c r="U25" s="105">
        <f>L25*0.1*0.0001*0.001*Reference!$F$8</f>
        <v>0</v>
      </c>
      <c r="V25" s="201">
        <f>(N25*Reference!$C$6/1000)/2204.62</f>
        <v>0.10404287360179987</v>
      </c>
      <c r="W25" s="109">
        <f>(N25/1000*0.02482)/2204.62*Reference!$F$7</f>
        <v>8.6766762525968178E-5</v>
      </c>
      <c r="X25" s="109">
        <f>(N25/1000*0.01119)/2204.62*Reference!$F$8</f>
        <v>5.7746291877965375E-4</v>
      </c>
      <c r="Y25" s="105">
        <f t="shared" si="1"/>
        <v>0</v>
      </c>
      <c r="Z25" s="285">
        <f>(P25*0.0916)*3*0.000001*Reference!$F$7</f>
        <v>0</v>
      </c>
      <c r="AA25" s="285">
        <f>(P25*0.0961)*0.6*0.000001*Reference!$F$8</f>
        <v>0</v>
      </c>
      <c r="AB25" s="111">
        <f t="shared" si="2"/>
        <v>0.10470710328310549</v>
      </c>
    </row>
    <row r="26" spans="1:30">
      <c r="A26" s="48"/>
      <c r="B26" s="38" t="s">
        <v>14</v>
      </c>
      <c r="C26" s="39" t="s">
        <v>134</v>
      </c>
      <c r="D26" s="40"/>
      <c r="E26" s="41" t="s">
        <v>322</v>
      </c>
      <c r="F26" s="41" t="s">
        <v>132</v>
      </c>
      <c r="G26" s="42" t="s">
        <v>131</v>
      </c>
      <c r="H26" s="43" t="s">
        <v>60</v>
      </c>
      <c r="I26" s="49" t="s">
        <v>4</v>
      </c>
      <c r="J26" s="49" t="s">
        <v>233</v>
      </c>
      <c r="K26" s="45" t="s">
        <v>239</v>
      </c>
      <c r="L26" s="125"/>
      <c r="M26" s="126"/>
      <c r="N26" s="46">
        <v>20143</v>
      </c>
      <c r="O26" s="47">
        <v>2449.35</v>
      </c>
      <c r="P26" s="206"/>
      <c r="Q26" s="209"/>
      <c r="R26" s="26"/>
      <c r="S26" s="200">
        <f t="shared" si="0"/>
        <v>0</v>
      </c>
      <c r="T26" s="105">
        <f>L26*0.1*0.005*0.001*Reference!$F$7</f>
        <v>0</v>
      </c>
      <c r="U26" s="105">
        <f>L26*0.1*0.0001*0.001*Reference!$F$8</f>
        <v>0</v>
      </c>
      <c r="V26" s="201">
        <f>(N26*Reference!$C$6/1000)/2204.62</f>
        <v>5.7104512342263067</v>
      </c>
      <c r="W26" s="109">
        <f>(N26/1000*0.02482)/2204.62*Reference!$F$7</f>
        <v>4.7622422276854971E-3</v>
      </c>
      <c r="X26" s="109">
        <f>(N26/1000*0.01119)/2204.62*Reference!$F$8</f>
        <v>3.1694374858252217E-2</v>
      </c>
      <c r="Y26" s="105">
        <f t="shared" si="1"/>
        <v>0</v>
      </c>
      <c r="Z26" s="285">
        <f>(P26*0.0916)*3*0.000001*Reference!$F$7</f>
        <v>0</v>
      </c>
      <c r="AA26" s="285">
        <f>(P26*0.0961)*0.6*0.000001*Reference!$F$8</f>
        <v>0</v>
      </c>
      <c r="AB26" s="111">
        <f t="shared" si="2"/>
        <v>5.746907851312244</v>
      </c>
    </row>
    <row r="27" spans="1:30">
      <c r="A27" s="48"/>
      <c r="B27" s="38" t="s">
        <v>14</v>
      </c>
      <c r="C27" s="40" t="s">
        <v>171</v>
      </c>
      <c r="D27" s="40"/>
      <c r="E27" s="41" t="s">
        <v>322</v>
      </c>
      <c r="F27" s="41" t="s">
        <v>413</v>
      </c>
      <c r="G27" s="42"/>
      <c r="H27" s="43" t="s">
        <v>60</v>
      </c>
      <c r="I27" s="44" t="s">
        <v>4</v>
      </c>
      <c r="J27" s="49" t="s">
        <v>233</v>
      </c>
      <c r="K27" s="45" t="s">
        <v>239</v>
      </c>
      <c r="L27" s="127"/>
      <c r="M27" s="128"/>
      <c r="N27" s="50">
        <v>45</v>
      </c>
      <c r="O27" s="51">
        <v>261.54000000000002</v>
      </c>
      <c r="P27" s="206"/>
      <c r="Q27" s="209"/>
      <c r="R27" s="26"/>
      <c r="S27" s="200">
        <f t="shared" si="0"/>
        <v>0</v>
      </c>
      <c r="T27" s="105">
        <f>L27*0.1*0.005*0.001*Reference!$F$7</f>
        <v>0</v>
      </c>
      <c r="U27" s="105">
        <f>L27*0.1*0.0001*0.001*Reference!$F$8</f>
        <v>0</v>
      </c>
      <c r="V27" s="201">
        <f>(N27*Reference!$C$6/1000)/2204.62</f>
        <v>1.2757300577877367E-2</v>
      </c>
      <c r="W27" s="109">
        <f>(N27/1000*0.02482)/2204.62*Reference!$F$7</f>
        <v>1.0638976331521986E-5</v>
      </c>
      <c r="X27" s="109">
        <f>(N27/1000*0.01119)/2204.62*Reference!$F$8</f>
        <v>7.0806079959358077E-5</v>
      </c>
      <c r="Y27" s="105">
        <f t="shared" si="1"/>
        <v>0</v>
      </c>
      <c r="Z27" s="285">
        <f>(P27*0.0916)*3*0.000001*Reference!$F$7</f>
        <v>0</v>
      </c>
      <c r="AA27" s="285">
        <f>(P27*0.0961)*0.6*0.000001*Reference!$F$8</f>
        <v>0</v>
      </c>
      <c r="AB27" s="111">
        <f t="shared" si="2"/>
        <v>1.2838745634168246E-2</v>
      </c>
    </row>
    <row r="28" spans="1:30">
      <c r="A28" s="48"/>
      <c r="B28" s="38" t="s">
        <v>14</v>
      </c>
      <c r="C28" s="40" t="s">
        <v>168</v>
      </c>
      <c r="D28" s="40"/>
      <c r="E28" s="41" t="s">
        <v>322</v>
      </c>
      <c r="F28" s="41" t="s">
        <v>169</v>
      </c>
      <c r="G28" s="42"/>
      <c r="H28" s="43" t="s">
        <v>60</v>
      </c>
      <c r="I28" s="44" t="s">
        <v>4</v>
      </c>
      <c r="J28" s="49" t="s">
        <v>233</v>
      </c>
      <c r="K28" s="45" t="s">
        <v>239</v>
      </c>
      <c r="L28" s="127"/>
      <c r="M28" s="128"/>
      <c r="N28" s="50">
        <v>11</v>
      </c>
      <c r="O28" s="51">
        <v>256.42</v>
      </c>
      <c r="P28" s="206"/>
      <c r="Q28" s="209"/>
      <c r="R28" s="26"/>
      <c r="S28" s="200">
        <f t="shared" si="0"/>
        <v>0</v>
      </c>
      <c r="T28" s="105">
        <f>L28*0.1*0.005*0.001*Reference!$F$7</f>
        <v>0</v>
      </c>
      <c r="U28" s="105">
        <f>L28*0.1*0.0001*0.001*Reference!$F$8</f>
        <v>0</v>
      </c>
      <c r="V28" s="201">
        <f>(N28*Reference!$C$6/1000)/2204.62</f>
        <v>3.1184512523700233E-3</v>
      </c>
      <c r="W28" s="109">
        <f>(N28/1000*0.02482)/2204.62*Reference!$F$7</f>
        <v>2.6006386588164851E-6</v>
      </c>
      <c r="X28" s="109">
        <f>(N28/1000*0.01119)/2204.62*Reference!$F$8</f>
        <v>1.7308152878954194E-5</v>
      </c>
      <c r="Y28" s="105">
        <f t="shared" si="1"/>
        <v>0</v>
      </c>
      <c r="Z28" s="285">
        <f>(P28*0.0916)*3*0.000001*Reference!$F$7</f>
        <v>0</v>
      </c>
      <c r="AA28" s="285">
        <f>(P28*0.0961)*0.6*0.000001*Reference!$F$8</f>
        <v>0</v>
      </c>
      <c r="AB28" s="111">
        <f t="shared" si="2"/>
        <v>3.1383600439077938E-3</v>
      </c>
      <c r="AD28" s="56"/>
    </row>
    <row r="29" spans="1:30">
      <c r="A29" s="48"/>
      <c r="B29" s="38" t="s">
        <v>14</v>
      </c>
      <c r="C29" s="40" t="s">
        <v>170</v>
      </c>
      <c r="D29" s="54"/>
      <c r="E29" s="41" t="s">
        <v>322</v>
      </c>
      <c r="F29" s="55" t="s">
        <v>169</v>
      </c>
      <c r="G29" s="55"/>
      <c r="H29" s="43" t="s">
        <v>60</v>
      </c>
      <c r="I29" s="57" t="s">
        <v>4</v>
      </c>
      <c r="J29" s="49" t="s">
        <v>233</v>
      </c>
      <c r="K29" s="45" t="s">
        <v>239</v>
      </c>
      <c r="L29" s="129"/>
      <c r="M29" s="128"/>
      <c r="N29" s="50">
        <v>17360</v>
      </c>
      <c r="O29" s="51">
        <v>2432.52</v>
      </c>
      <c r="P29" s="205"/>
      <c r="Q29" s="209"/>
      <c r="R29" s="26"/>
      <c r="S29" s="200">
        <f t="shared" si="0"/>
        <v>0</v>
      </c>
      <c r="T29" s="105">
        <f>L29*0.1*0.005*0.001*Reference!$F$7</f>
        <v>0</v>
      </c>
      <c r="U29" s="105">
        <f>L29*0.1*0.0001*0.001*Reference!$F$8</f>
        <v>0</v>
      </c>
      <c r="V29" s="201">
        <f>(N29*Reference!$C$6/1000)/2204.62</f>
        <v>4.9214830673766912</v>
      </c>
      <c r="W29" s="109">
        <f>(N29/1000*0.02482)/2204.62*Reference!$F$7</f>
        <v>4.1042806470049263E-3</v>
      </c>
      <c r="X29" s="109">
        <f>(N29/1000*0.01119)/2204.62*Reference!$F$8</f>
        <v>2.7315412179876805E-2</v>
      </c>
      <c r="Y29" s="105">
        <f t="shared" si="1"/>
        <v>0</v>
      </c>
      <c r="Z29" s="285">
        <f>(P29*0.0916)*3*0.000001*Reference!$F$7</f>
        <v>0</v>
      </c>
      <c r="AA29" s="285">
        <f>(P29*0.0961)*0.6*0.000001*Reference!$F$8</f>
        <v>0</v>
      </c>
      <c r="AB29" s="111">
        <f t="shared" si="2"/>
        <v>4.9529027602035729</v>
      </c>
    </row>
    <row r="30" spans="1:30">
      <c r="A30" s="48"/>
      <c r="B30" s="38" t="s">
        <v>14</v>
      </c>
      <c r="C30" s="39" t="s">
        <v>124</v>
      </c>
      <c r="D30" s="40"/>
      <c r="E30" s="41" t="s">
        <v>322</v>
      </c>
      <c r="F30" s="41" t="s">
        <v>125</v>
      </c>
      <c r="G30" s="42" t="s">
        <v>154</v>
      </c>
      <c r="H30" s="43" t="s">
        <v>237</v>
      </c>
      <c r="I30" s="44" t="s">
        <v>4</v>
      </c>
      <c r="J30" s="49" t="s">
        <v>233</v>
      </c>
      <c r="K30" s="45" t="s">
        <v>239</v>
      </c>
      <c r="L30" s="125"/>
      <c r="M30" s="126"/>
      <c r="N30" s="46">
        <v>6230</v>
      </c>
      <c r="O30" s="47">
        <v>1032.56</v>
      </c>
      <c r="P30" s="206"/>
      <c r="Q30" s="209"/>
      <c r="R30" s="26"/>
      <c r="S30" s="200">
        <f t="shared" si="0"/>
        <v>0</v>
      </c>
      <c r="T30" s="105">
        <f>L30*0.1*0.005*0.001*Reference!$F$7</f>
        <v>0</v>
      </c>
      <c r="U30" s="105">
        <f>L30*0.1*0.0001*0.001*Reference!$F$8</f>
        <v>0</v>
      </c>
      <c r="V30" s="201">
        <f>(N30*Reference!$C$6/1000)/2204.62</f>
        <v>1.7661773911150223</v>
      </c>
      <c r="W30" s="109">
        <f>(N30/1000*0.02482)/2204.62*Reference!$F$7</f>
        <v>1.4729071676751551E-3</v>
      </c>
      <c r="X30" s="109">
        <f>(N30/1000*0.01119)/2204.62*Reference!$F$8</f>
        <v>9.8027084032622416E-3</v>
      </c>
      <c r="Y30" s="105">
        <f t="shared" si="1"/>
        <v>0</v>
      </c>
      <c r="Z30" s="285">
        <f>(P30*0.0916)*3*0.000001*Reference!$F$7</f>
        <v>0</v>
      </c>
      <c r="AA30" s="285">
        <f>(P30*0.0961)*0.6*0.000001*Reference!$F$8</f>
        <v>0</v>
      </c>
      <c r="AB30" s="111">
        <f t="shared" si="2"/>
        <v>1.7774530066859595</v>
      </c>
    </row>
    <row r="31" spans="1:30">
      <c r="A31" s="48"/>
      <c r="B31" s="38" t="s">
        <v>14</v>
      </c>
      <c r="C31" s="39" t="s">
        <v>127</v>
      </c>
      <c r="D31" s="52"/>
      <c r="E31" s="41" t="s">
        <v>322</v>
      </c>
      <c r="F31" s="41" t="s">
        <v>126</v>
      </c>
      <c r="G31" s="42" t="s">
        <v>154</v>
      </c>
      <c r="H31" s="43" t="s">
        <v>237</v>
      </c>
      <c r="I31" s="44" t="s">
        <v>4</v>
      </c>
      <c r="J31" s="49" t="s">
        <v>233</v>
      </c>
      <c r="K31" s="45" t="s">
        <v>239</v>
      </c>
      <c r="L31" s="130"/>
      <c r="M31" s="131"/>
      <c r="N31" s="46">
        <v>937</v>
      </c>
      <c r="O31" s="47">
        <v>372.25</v>
      </c>
      <c r="P31" s="206"/>
      <c r="Q31" s="209"/>
      <c r="R31" s="26"/>
      <c r="S31" s="200">
        <f t="shared" si="0"/>
        <v>0</v>
      </c>
      <c r="T31" s="105">
        <f>L31*0.1*0.005*0.001*Reference!$F$7</f>
        <v>0</v>
      </c>
      <c r="U31" s="105">
        <f>L31*0.1*0.0001*0.001*Reference!$F$8</f>
        <v>0</v>
      </c>
      <c r="V31" s="201">
        <f>(N31*Reference!$C$6/1000)/2204.62</f>
        <v>0.26563534758824653</v>
      </c>
      <c r="W31" s="109">
        <f>(N31/1000*0.02482)/2204.62*Reference!$F$7</f>
        <v>2.2152712939191334E-4</v>
      </c>
      <c r="X31" s="109">
        <f>(N31/1000*0.01119)/2204.62*Reference!$F$8</f>
        <v>1.4743399315981895E-3</v>
      </c>
      <c r="Y31" s="105">
        <f t="shared" si="1"/>
        <v>0</v>
      </c>
      <c r="Z31" s="285">
        <f>(P31*0.0916)*3*0.000001*Reference!$F$7</f>
        <v>0</v>
      </c>
      <c r="AA31" s="285">
        <f>(P31*0.0961)*0.6*0.000001*Reference!$F$8</f>
        <v>0</v>
      </c>
      <c r="AB31" s="111">
        <f t="shared" si="2"/>
        <v>0.26733121464923665</v>
      </c>
    </row>
    <row r="32" spans="1:30">
      <c r="A32" s="48"/>
      <c r="B32" s="38" t="s">
        <v>14</v>
      </c>
      <c r="C32" s="40" t="s">
        <v>176</v>
      </c>
      <c r="D32" s="40"/>
      <c r="E32" s="41" t="s">
        <v>322</v>
      </c>
      <c r="F32" s="55" t="s">
        <v>18</v>
      </c>
      <c r="G32" s="42" t="s">
        <v>177</v>
      </c>
      <c r="H32" s="43" t="s">
        <v>237</v>
      </c>
      <c r="I32" s="44" t="s">
        <v>4</v>
      </c>
      <c r="J32" s="49" t="s">
        <v>233</v>
      </c>
      <c r="K32" s="45" t="s">
        <v>239</v>
      </c>
      <c r="L32" s="127"/>
      <c r="M32" s="128"/>
      <c r="N32" s="50">
        <v>337</v>
      </c>
      <c r="O32" s="51">
        <v>297.17</v>
      </c>
      <c r="P32" s="206"/>
      <c r="Q32" s="209"/>
      <c r="R32" s="26"/>
      <c r="S32" s="200">
        <f t="shared" si="0"/>
        <v>0</v>
      </c>
      <c r="T32" s="105">
        <f>L32*0.1*0.005*0.001*Reference!$F$7</f>
        <v>0</v>
      </c>
      <c r="U32" s="105">
        <f>L32*0.1*0.0001*0.001*Reference!$F$8</f>
        <v>0</v>
      </c>
      <c r="V32" s="201">
        <f>(N32*Reference!$C$6/1000)/2204.62</f>
        <v>9.5538006549881621E-2</v>
      </c>
      <c r="W32" s="109">
        <f>(N32/1000*0.02482)/2204.62*Reference!$F$7</f>
        <v>7.9674111638286868E-5</v>
      </c>
      <c r="X32" s="109">
        <f>(N32/1000*0.01119)/2204.62*Reference!$F$8</f>
        <v>5.3025886547341497E-4</v>
      </c>
      <c r="Y32" s="105">
        <f t="shared" si="1"/>
        <v>0</v>
      </c>
      <c r="Z32" s="285">
        <f>(P32*0.0916)*3*0.000001*Reference!$F$7</f>
        <v>0</v>
      </c>
      <c r="AA32" s="285">
        <f>(P32*0.0961)*0.6*0.000001*Reference!$F$8</f>
        <v>0</v>
      </c>
      <c r="AB32" s="111">
        <f t="shared" si="2"/>
        <v>9.6147939526993326E-2</v>
      </c>
    </row>
    <row r="33" spans="1:30">
      <c r="A33" s="48"/>
      <c r="B33" s="38" t="s">
        <v>14</v>
      </c>
      <c r="C33" s="39" t="s">
        <v>90</v>
      </c>
      <c r="D33" s="40" t="s">
        <v>103</v>
      </c>
      <c r="E33" s="41" t="s">
        <v>76</v>
      </c>
      <c r="F33" s="41" t="s">
        <v>76</v>
      </c>
      <c r="G33" s="42" t="s">
        <v>85</v>
      </c>
      <c r="H33" s="43" t="s">
        <v>60</v>
      </c>
      <c r="I33" s="44" t="s">
        <v>4</v>
      </c>
      <c r="J33" s="49" t="s">
        <v>245</v>
      </c>
      <c r="K33" s="45" t="s">
        <v>239</v>
      </c>
      <c r="L33" s="127">
        <v>8716</v>
      </c>
      <c r="M33" s="128">
        <v>6465.53</v>
      </c>
      <c r="N33" s="50">
        <v>2759</v>
      </c>
      <c r="O33" s="51">
        <v>647.22</v>
      </c>
      <c r="P33" s="204"/>
      <c r="Q33" s="209"/>
      <c r="R33" s="26"/>
      <c r="S33" s="200">
        <f t="shared" si="0"/>
        <v>46.212232000000007</v>
      </c>
      <c r="T33" s="105">
        <f>L33*0.1*0.005*0.001*Reference!$F$7</f>
        <v>9.1518000000000016E-2</v>
      </c>
      <c r="U33" s="105">
        <f>L33*0.1*0.0001*0.001*Reference!$F$8</f>
        <v>2.7019600000000001E-2</v>
      </c>
      <c r="V33" s="201">
        <f>(N33*Reference!$C$6/1000)/2204.62</f>
        <v>0.78216427320808124</v>
      </c>
      <c r="W33" s="109">
        <f>(N33/1000*0.02482)/2204.62*Reference!$F$7</f>
        <v>6.5228745997042577E-4</v>
      </c>
      <c r="X33" s="109">
        <f>(N33/1000*0.01119)/2204.62*Reference!$F$8</f>
        <v>4.3411994357304209E-3</v>
      </c>
      <c r="Y33" s="105">
        <f t="shared" si="1"/>
        <v>0</v>
      </c>
      <c r="Z33" s="285">
        <f>(P33*0.0916)*3*0.000001*Reference!$F$7</f>
        <v>0</v>
      </c>
      <c r="AA33" s="285">
        <f>(P33*0.0961)*0.6*0.000001*Reference!$F$8</f>
        <v>0</v>
      </c>
      <c r="AB33" s="111">
        <f t="shared" si="2"/>
        <v>47.117927360103792</v>
      </c>
      <c r="AD33" s="56"/>
    </row>
    <row r="34" spans="1:30">
      <c r="A34" s="48"/>
      <c r="B34" s="38" t="s">
        <v>14</v>
      </c>
      <c r="C34" s="39" t="s">
        <v>91</v>
      </c>
      <c r="D34" s="52"/>
      <c r="E34" s="41" t="s">
        <v>76</v>
      </c>
      <c r="F34" s="41" t="s">
        <v>76</v>
      </c>
      <c r="G34" s="42" t="s">
        <v>85</v>
      </c>
      <c r="H34" s="43" t="s">
        <v>60</v>
      </c>
      <c r="I34" s="44" t="s">
        <v>4</v>
      </c>
      <c r="J34" s="49" t="s">
        <v>245</v>
      </c>
      <c r="K34" s="45" t="s">
        <v>239</v>
      </c>
      <c r="L34" s="130"/>
      <c r="M34" s="131"/>
      <c r="N34" s="46">
        <v>5030</v>
      </c>
      <c r="O34" s="47">
        <v>883.04</v>
      </c>
      <c r="P34" s="206"/>
      <c r="Q34" s="209"/>
      <c r="R34" s="26"/>
      <c r="S34" s="200">
        <f t="shared" si="0"/>
        <v>0</v>
      </c>
      <c r="T34" s="105">
        <f>L34*0.1*0.005*0.001*Reference!$F$7</f>
        <v>0</v>
      </c>
      <c r="U34" s="105">
        <f>L34*0.1*0.0001*0.001*Reference!$F$8</f>
        <v>0</v>
      </c>
      <c r="V34" s="201">
        <f>(N34*Reference!$C$6/1000)/2204.62</f>
        <v>1.4259827090382924</v>
      </c>
      <c r="W34" s="109">
        <f>(N34/1000*0.02482)/2204.62*Reference!$F$7</f>
        <v>1.189201132167902E-3</v>
      </c>
      <c r="X34" s="109">
        <f>(N34/1000*0.01119)/2204.62*Reference!$F$8</f>
        <v>7.9145462710126912E-3</v>
      </c>
      <c r="Y34" s="105">
        <f t="shared" si="1"/>
        <v>0</v>
      </c>
      <c r="Z34" s="285">
        <f>(P34*0.0916)*3*0.000001*Reference!$F$7</f>
        <v>0</v>
      </c>
      <c r="AA34" s="285">
        <f>(P34*0.0961)*0.6*0.000001*Reference!$F$8</f>
        <v>0</v>
      </c>
      <c r="AB34" s="111">
        <f t="shared" si="2"/>
        <v>1.4350864564414729</v>
      </c>
    </row>
    <row r="35" spans="1:30">
      <c r="A35" s="48"/>
      <c r="B35" s="38" t="s">
        <v>14</v>
      </c>
      <c r="C35" s="39" t="s">
        <v>92</v>
      </c>
      <c r="D35" s="52"/>
      <c r="E35" s="41" t="s">
        <v>76</v>
      </c>
      <c r="F35" s="41" t="s">
        <v>76</v>
      </c>
      <c r="G35" s="53" t="s">
        <v>85</v>
      </c>
      <c r="H35" s="43" t="s">
        <v>60</v>
      </c>
      <c r="I35" s="44" t="s">
        <v>4</v>
      </c>
      <c r="J35" s="49" t="s">
        <v>245</v>
      </c>
      <c r="K35" s="45" t="s">
        <v>239</v>
      </c>
      <c r="L35" s="130"/>
      <c r="M35" s="131"/>
      <c r="N35" s="46">
        <v>3074</v>
      </c>
      <c r="O35" s="47">
        <v>638.20000000000005</v>
      </c>
      <c r="P35" s="206"/>
      <c r="Q35" s="209"/>
      <c r="R35" s="26"/>
      <c r="S35" s="200">
        <f t="shared" si="0"/>
        <v>0</v>
      </c>
      <c r="T35" s="105">
        <f>L35*0.1*0.005*0.001*Reference!$F$7</f>
        <v>0</v>
      </c>
      <c r="U35" s="105">
        <f>L35*0.1*0.0001*0.001*Reference!$F$8</f>
        <v>0</v>
      </c>
      <c r="V35" s="201">
        <f>(N35*Reference!$C$6/1000)/2204.62</f>
        <v>0.87146537725322282</v>
      </c>
      <c r="W35" s="109">
        <f>(N35/1000*0.02482)/2204.62*Reference!$F$7</f>
        <v>7.2676029429107969E-4</v>
      </c>
      <c r="X35" s="109">
        <f>(N35/1000*0.01119)/2204.62*Reference!$F$8</f>
        <v>4.8368419954459277E-3</v>
      </c>
      <c r="Y35" s="105">
        <f t="shared" si="1"/>
        <v>0</v>
      </c>
      <c r="Z35" s="285">
        <f>(P35*0.0916)*3*0.000001*Reference!$F$7</f>
        <v>0</v>
      </c>
      <c r="AA35" s="285">
        <f>(P35*0.0961)*0.6*0.000001*Reference!$F$8</f>
        <v>0</v>
      </c>
      <c r="AB35" s="111">
        <f t="shared" si="2"/>
        <v>0.87702897954295977</v>
      </c>
    </row>
    <row r="36" spans="1:30">
      <c r="A36" s="48"/>
      <c r="B36" s="38" t="s">
        <v>14</v>
      </c>
      <c r="C36" s="39" t="s">
        <v>121</v>
      </c>
      <c r="D36" s="40"/>
      <c r="E36" s="41" t="s">
        <v>76</v>
      </c>
      <c r="F36" s="41" t="s">
        <v>76</v>
      </c>
      <c r="G36" s="42" t="s">
        <v>85</v>
      </c>
      <c r="H36" s="43" t="s">
        <v>60</v>
      </c>
      <c r="I36" s="44" t="s">
        <v>4</v>
      </c>
      <c r="J36" s="49" t="s">
        <v>245</v>
      </c>
      <c r="K36" s="45" t="s">
        <v>239</v>
      </c>
      <c r="L36" s="125"/>
      <c r="M36" s="126"/>
      <c r="N36" s="46">
        <v>106200</v>
      </c>
      <c r="O36" s="47">
        <v>11993.14</v>
      </c>
      <c r="P36" s="206"/>
      <c r="Q36" s="209"/>
      <c r="R36" s="26"/>
      <c r="S36" s="200">
        <f t="shared" si="0"/>
        <v>0</v>
      </c>
      <c r="T36" s="105">
        <f>L36*0.1*0.005*0.001*Reference!$F$7</f>
        <v>0</v>
      </c>
      <c r="U36" s="105">
        <f>L36*0.1*0.0001*0.001*Reference!$F$8</f>
        <v>0</v>
      </c>
      <c r="V36" s="201">
        <f>(N36*Reference!$C$6/1000)/2204.62</f>
        <v>30.107229363790587</v>
      </c>
      <c r="W36" s="109">
        <f>(N36/1000*0.02482)/2204.62*Reference!$F$7</f>
        <v>2.5107984142391886E-2</v>
      </c>
      <c r="X36" s="109">
        <f>(N36/1000*0.01119)/2204.62*Reference!$F$8</f>
        <v>0.16710234870408508</v>
      </c>
      <c r="Y36" s="105">
        <f t="shared" si="1"/>
        <v>0</v>
      </c>
      <c r="Z36" s="285">
        <f>(P36*0.0916)*3*0.000001*Reference!$F$7</f>
        <v>0</v>
      </c>
      <c r="AA36" s="285">
        <f>(P36*0.0961)*0.6*0.000001*Reference!$F$8</f>
        <v>0</v>
      </c>
      <c r="AB36" s="111">
        <f t="shared" si="2"/>
        <v>30.299439696637062</v>
      </c>
    </row>
    <row r="37" spans="1:30">
      <c r="A37" s="48"/>
      <c r="B37" s="38" t="s">
        <v>14</v>
      </c>
      <c r="C37" s="39" t="s">
        <v>93</v>
      </c>
      <c r="D37" s="52" t="s">
        <v>93</v>
      </c>
      <c r="E37" s="41" t="s">
        <v>61</v>
      </c>
      <c r="F37" s="41" t="s">
        <v>61</v>
      </c>
      <c r="G37" s="42" t="s">
        <v>88</v>
      </c>
      <c r="H37" s="43" t="s">
        <v>60</v>
      </c>
      <c r="I37" s="44" t="s">
        <v>4</v>
      </c>
      <c r="J37" s="49" t="s">
        <v>245</v>
      </c>
      <c r="K37" s="45" t="s">
        <v>239</v>
      </c>
      <c r="L37" s="130">
        <v>10168</v>
      </c>
      <c r="M37" s="131">
        <v>7514.98</v>
      </c>
      <c r="N37" s="46">
        <v>156400</v>
      </c>
      <c r="O37" s="47">
        <v>16909.330000000002</v>
      </c>
      <c r="P37" s="206"/>
      <c r="Q37" s="209"/>
      <c r="R37" s="26"/>
      <c r="S37" s="200">
        <f t="shared" si="0"/>
        <v>53.910736000000007</v>
      </c>
      <c r="T37" s="105">
        <f>L37*0.1*0.005*0.001*Reference!$F$7</f>
        <v>0.10676400000000001</v>
      </c>
      <c r="U37" s="105">
        <f>L37*0.1*0.0001*0.001*Reference!$F$8</f>
        <v>3.1520800000000002E-2</v>
      </c>
      <c r="V37" s="201">
        <f>(N37*Reference!$C$6/1000)/2204.62</f>
        <v>44.338706897333786</v>
      </c>
      <c r="W37" s="109">
        <f>(N37/1000*0.02482)/2204.62*Reference!$F$7</f>
        <v>3.6976353294445298E-2</v>
      </c>
      <c r="X37" s="109">
        <f>(N37/1000*0.01119)/2204.62*Reference!$F$8</f>
        <v>0.24609046456985786</v>
      </c>
      <c r="Y37" s="105">
        <f t="shared" si="1"/>
        <v>0</v>
      </c>
      <c r="Z37" s="285">
        <f>(P37*0.0916)*3*0.000001*Reference!$F$7</f>
        <v>0</v>
      </c>
      <c r="AA37" s="285">
        <f>(P37*0.0961)*0.6*0.000001*Reference!$F$8</f>
        <v>0</v>
      </c>
      <c r="AB37" s="111">
        <f t="shared" si="2"/>
        <v>98.670794515198097</v>
      </c>
      <c r="AD37" s="56"/>
    </row>
    <row r="38" spans="1:30">
      <c r="A38" s="48"/>
      <c r="B38" s="38" t="s">
        <v>14</v>
      </c>
      <c r="C38" s="40" t="s">
        <v>138</v>
      </c>
      <c r="D38" s="54"/>
      <c r="E38" s="55" t="s">
        <v>137</v>
      </c>
      <c r="F38" s="55" t="s">
        <v>137</v>
      </c>
      <c r="G38" s="55"/>
      <c r="H38" s="43" t="s">
        <v>237</v>
      </c>
      <c r="I38" s="49" t="s">
        <v>6</v>
      </c>
      <c r="J38" s="49" t="s">
        <v>18</v>
      </c>
      <c r="K38" s="45" t="s">
        <v>237</v>
      </c>
      <c r="L38" s="129"/>
      <c r="M38" s="128"/>
      <c r="N38" s="50">
        <v>50380</v>
      </c>
      <c r="O38" s="51">
        <v>30422.55</v>
      </c>
      <c r="P38" s="205"/>
      <c r="Q38" s="209"/>
      <c r="R38" s="26"/>
      <c r="S38" s="200">
        <f t="shared" si="0"/>
        <v>0</v>
      </c>
      <c r="T38" s="105">
        <f>L38*0.1*0.005*0.001*Reference!$F$7</f>
        <v>0</v>
      </c>
      <c r="U38" s="105">
        <f>L38*0.1*0.0001*0.001*Reference!$F$8</f>
        <v>0</v>
      </c>
      <c r="V38" s="201">
        <f>(N38*Reference!$C$6/1000)/2204.62</f>
        <v>14.282506735854707</v>
      </c>
      <c r="W38" s="109">
        <f>(N38/1000*0.02482)/2204.62*Reference!$F$7</f>
        <v>1.1910925057379503E-2</v>
      </c>
      <c r="X38" s="109">
        <f>(N38/1000*0.01119)/2204.62*Reference!$F$8</f>
        <v>7.9271340185610231E-2</v>
      </c>
      <c r="Y38" s="105">
        <f t="shared" si="1"/>
        <v>0</v>
      </c>
      <c r="Z38" s="285">
        <f>(P38*0.0916)*3*0.000001*Reference!$F$7</f>
        <v>0</v>
      </c>
      <c r="AA38" s="285">
        <f>(P38*0.0961)*0.6*0.000001*Reference!$F$8</f>
        <v>0</v>
      </c>
      <c r="AB38" s="111">
        <f t="shared" si="2"/>
        <v>14.373689001097697</v>
      </c>
    </row>
    <row r="39" spans="1:30">
      <c r="A39" s="48"/>
      <c r="B39" s="38" t="s">
        <v>14</v>
      </c>
      <c r="C39" s="40" t="s">
        <v>139</v>
      </c>
      <c r="D39" s="40"/>
      <c r="E39" s="41" t="s">
        <v>137</v>
      </c>
      <c r="F39" s="41" t="s">
        <v>137</v>
      </c>
      <c r="G39" s="42"/>
      <c r="H39" s="43" t="s">
        <v>237</v>
      </c>
      <c r="I39" s="49" t="s">
        <v>6</v>
      </c>
      <c r="J39" s="49" t="s">
        <v>18</v>
      </c>
      <c r="K39" s="45" t="s">
        <v>237</v>
      </c>
      <c r="L39" s="127"/>
      <c r="M39" s="128"/>
      <c r="N39" s="50">
        <v>908568</v>
      </c>
      <c r="O39" s="51">
        <v>342366.62</v>
      </c>
      <c r="P39" s="206"/>
      <c r="Q39" s="209"/>
      <c r="R39" s="26"/>
      <c r="S39" s="200">
        <f t="shared" si="0"/>
        <v>0</v>
      </c>
      <c r="T39" s="105">
        <f>L39*0.1*0.005*0.001*Reference!$F$7</f>
        <v>0</v>
      </c>
      <c r="U39" s="105">
        <f>L39*0.1*0.0001*0.001*Reference!$F$8</f>
        <v>0</v>
      </c>
      <c r="V39" s="201">
        <f>(N39*Reference!$C$6/1000)/2204.62</f>
        <v>257.57500158757517</v>
      </c>
      <c r="W39" s="109">
        <f>(N39/1000*0.02482)/2204.62*Reference!$F$7</f>
        <v>0.21480518772396148</v>
      </c>
      <c r="X39" s="109">
        <f>(N39/1000*0.01119)/2204.62*Reference!$F$8</f>
        <v>1.4296030768114234</v>
      </c>
      <c r="Y39" s="105">
        <f t="shared" si="1"/>
        <v>0</v>
      </c>
      <c r="Z39" s="285">
        <f>(P39*0.0916)*3*0.000001*Reference!$F$7</f>
        <v>0</v>
      </c>
      <c r="AA39" s="285">
        <f>(P39*0.0961)*0.6*0.000001*Reference!$F$8</f>
        <v>0</v>
      </c>
      <c r="AB39" s="111">
        <f t="shared" si="2"/>
        <v>259.21940985211057</v>
      </c>
    </row>
    <row r="40" spans="1:30">
      <c r="A40" s="48"/>
      <c r="B40" s="38" t="s">
        <v>14</v>
      </c>
      <c r="C40" s="40" t="s">
        <v>141</v>
      </c>
      <c r="D40" s="54"/>
      <c r="E40" s="55" t="s">
        <v>137</v>
      </c>
      <c r="F40" s="55" t="s">
        <v>137</v>
      </c>
      <c r="G40" s="55" t="s">
        <v>140</v>
      </c>
      <c r="H40" s="43" t="s">
        <v>237</v>
      </c>
      <c r="I40" s="49" t="s">
        <v>6</v>
      </c>
      <c r="J40" s="49" t="s">
        <v>18</v>
      </c>
      <c r="K40" s="45" t="s">
        <v>237</v>
      </c>
      <c r="L40" s="129"/>
      <c r="M40" s="128"/>
      <c r="N40" s="50">
        <v>9398</v>
      </c>
      <c r="O40" s="51">
        <v>1124.3499999999999</v>
      </c>
      <c r="P40" s="205"/>
      <c r="Q40" s="209"/>
      <c r="R40" s="26"/>
      <c r="S40" s="200">
        <f t="shared" si="0"/>
        <v>0</v>
      </c>
      <c r="T40" s="105">
        <f>L40*0.1*0.005*0.001*Reference!$F$7</f>
        <v>0</v>
      </c>
      <c r="U40" s="105">
        <f>L40*0.1*0.0001*0.001*Reference!$F$8</f>
        <v>0</v>
      </c>
      <c r="V40" s="201">
        <f>(N40*Reference!$C$6/1000)/2204.62</f>
        <v>2.6642913517975888</v>
      </c>
      <c r="W40" s="109">
        <f>(N40/1000*0.02482)/2204.62*Reference!$F$7</f>
        <v>2.2218911014143024E-3</v>
      </c>
      <c r="X40" s="109">
        <f>(N40/1000*0.01119)/2204.62*Reference!$F$8</f>
        <v>1.4787456432401048E-2</v>
      </c>
      <c r="Y40" s="105">
        <f t="shared" si="1"/>
        <v>0</v>
      </c>
      <c r="Z40" s="285">
        <f>(P40*0.0916)*3*0.000001*Reference!$F$7</f>
        <v>0</v>
      </c>
      <c r="AA40" s="285">
        <f>(P40*0.0961)*0.6*0.000001*Reference!$F$8</f>
        <v>0</v>
      </c>
      <c r="AB40" s="111">
        <f t="shared" si="2"/>
        <v>2.6813006993314041</v>
      </c>
    </row>
    <row r="41" spans="1:30">
      <c r="A41" s="48"/>
      <c r="B41" s="38" t="s">
        <v>14</v>
      </c>
      <c r="C41" s="39" t="s">
        <v>114</v>
      </c>
      <c r="D41" s="40"/>
      <c r="E41" s="41" t="s">
        <v>18</v>
      </c>
      <c r="F41" s="41" t="s">
        <v>112</v>
      </c>
      <c r="G41" s="42" t="s">
        <v>113</v>
      </c>
      <c r="H41" s="43" t="s">
        <v>237</v>
      </c>
      <c r="I41" s="49" t="s">
        <v>6</v>
      </c>
      <c r="J41" s="49" t="s">
        <v>18</v>
      </c>
      <c r="K41" s="45" t="s">
        <v>237</v>
      </c>
      <c r="L41" s="125"/>
      <c r="M41" s="126"/>
      <c r="N41" s="46">
        <v>9059</v>
      </c>
      <c r="O41" s="47">
        <v>1385.81</v>
      </c>
      <c r="P41" s="206"/>
      <c r="Q41" s="209"/>
      <c r="R41" s="26"/>
      <c r="S41" s="200">
        <f t="shared" si="0"/>
        <v>0</v>
      </c>
      <c r="T41" s="105">
        <f>L41*0.1*0.005*0.001*Reference!$F$7</f>
        <v>0</v>
      </c>
      <c r="U41" s="105">
        <f>L41*0.1*0.0001*0.001*Reference!$F$8</f>
        <v>0</v>
      </c>
      <c r="V41" s="201">
        <f>(N41*Reference!$C$6/1000)/2204.62</f>
        <v>2.5681863541109125</v>
      </c>
      <c r="W41" s="109">
        <f>(N41/1000*0.02482)/2204.62*Reference!$F$7</f>
        <v>2.1417441463835035E-3</v>
      </c>
      <c r="X41" s="109">
        <f>(N41/1000*0.01119)/2204.62*Reference!$F$8</f>
        <v>1.425405063004055E-2</v>
      </c>
      <c r="Y41" s="105">
        <f t="shared" si="1"/>
        <v>0</v>
      </c>
      <c r="Z41" s="285">
        <f>(P41*0.0916)*3*0.000001*Reference!$F$7</f>
        <v>0</v>
      </c>
      <c r="AA41" s="285">
        <f>(P41*0.0961)*0.6*0.000001*Reference!$F$8</f>
        <v>0</v>
      </c>
      <c r="AB41" s="111">
        <f t="shared" si="2"/>
        <v>2.5845821488873364</v>
      </c>
      <c r="AD41" s="56"/>
    </row>
    <row r="42" spans="1:30">
      <c r="A42" s="48"/>
      <c r="B42" s="38" t="s">
        <v>14</v>
      </c>
      <c r="C42" s="40" t="s">
        <v>217</v>
      </c>
      <c r="D42" s="40"/>
      <c r="E42" s="41" t="s">
        <v>18</v>
      </c>
      <c r="F42" s="41" t="s">
        <v>218</v>
      </c>
      <c r="G42" s="42" t="s">
        <v>219</v>
      </c>
      <c r="H42" s="43" t="s">
        <v>237</v>
      </c>
      <c r="I42" s="44" t="s">
        <v>6</v>
      </c>
      <c r="J42" s="45" t="s">
        <v>18</v>
      </c>
      <c r="K42" s="45" t="s">
        <v>237</v>
      </c>
      <c r="L42" s="127"/>
      <c r="M42" s="128"/>
      <c r="N42" s="50">
        <v>8676</v>
      </c>
      <c r="O42" s="51">
        <v>1037.58</v>
      </c>
      <c r="P42" s="206"/>
      <c r="Q42" s="209"/>
      <c r="R42" s="26"/>
      <c r="S42" s="200">
        <f t="shared" ref="S42:S73" si="3">L42*0.1*53.02*0.001</f>
        <v>0</v>
      </c>
      <c r="T42" s="105">
        <f>L42*0.1*0.005*0.001*Reference!$F$7</f>
        <v>0</v>
      </c>
      <c r="U42" s="105">
        <f>L42*0.1*0.0001*0.001*Reference!$F$8</f>
        <v>0</v>
      </c>
      <c r="V42" s="201">
        <f>(N42*Reference!$C$6/1000)/2204.62</f>
        <v>2.4596075514147566</v>
      </c>
      <c r="W42" s="109">
        <f>(N42/1000*0.02482)/2204.62*Reference!$F$7</f>
        <v>2.0511946367174389E-3</v>
      </c>
      <c r="X42" s="109">
        <f>(N42/1000*0.01119)/2204.62*Reference!$F$8</f>
        <v>1.3651412216164239E-2</v>
      </c>
      <c r="Y42" s="105">
        <f t="shared" ref="Y42:Y73" si="4">(P42*0.0916)*61.46*0.001</f>
        <v>0</v>
      </c>
      <c r="Z42" s="285">
        <f>(P42*0.0916)*3*0.000001*Reference!$F$7</f>
        <v>0</v>
      </c>
      <c r="AA42" s="285">
        <f>(P42*0.0961)*0.6*0.000001*Reference!$F$8</f>
        <v>0</v>
      </c>
      <c r="AB42" s="111">
        <f t="shared" ref="AB42:AB73" si="5">SUM(S42:AA42)</f>
        <v>2.4753101582676384</v>
      </c>
    </row>
    <row r="43" spans="1:30">
      <c r="A43" s="48"/>
      <c r="B43" s="38" t="s">
        <v>14</v>
      </c>
      <c r="C43" s="40" t="s">
        <v>175</v>
      </c>
      <c r="D43" s="54"/>
      <c r="E43" s="55" t="s">
        <v>18</v>
      </c>
      <c r="F43" s="55" t="s">
        <v>18</v>
      </c>
      <c r="G43" s="55"/>
      <c r="H43" s="43" t="s">
        <v>237</v>
      </c>
      <c r="I43" s="57" t="s">
        <v>6</v>
      </c>
      <c r="J43" s="57" t="s">
        <v>18</v>
      </c>
      <c r="K43" s="45" t="s">
        <v>237</v>
      </c>
      <c r="L43" s="129"/>
      <c r="M43" s="128"/>
      <c r="N43" s="50">
        <v>258</v>
      </c>
      <c r="O43" s="51">
        <v>287.31</v>
      </c>
      <c r="P43" s="205"/>
      <c r="Q43" s="209"/>
      <c r="R43" s="26"/>
      <c r="S43" s="200">
        <f t="shared" si="3"/>
        <v>0</v>
      </c>
      <c r="T43" s="105">
        <f>L43*0.1*0.005*0.001*Reference!$F$7</f>
        <v>0</v>
      </c>
      <c r="U43" s="105">
        <f>L43*0.1*0.0001*0.001*Reference!$F$8</f>
        <v>0</v>
      </c>
      <c r="V43" s="201">
        <f>(N43*Reference!$C$6/1000)/2204.62</f>
        <v>7.3141856646496903E-2</v>
      </c>
      <c r="W43" s="109">
        <f>(N43/1000*0.02482)/2204.62*Reference!$F$7</f>
        <v>6.0996797634059384E-5</v>
      </c>
      <c r="X43" s="109">
        <f>(N43/1000*0.01119)/2204.62*Reference!$F$8</f>
        <v>4.0595485843365303E-4</v>
      </c>
      <c r="Y43" s="105">
        <f t="shared" si="4"/>
        <v>0</v>
      </c>
      <c r="Z43" s="285">
        <f>(P43*0.0916)*3*0.000001*Reference!$F$7</f>
        <v>0</v>
      </c>
      <c r="AA43" s="285">
        <f>(P43*0.0961)*0.6*0.000001*Reference!$F$8</f>
        <v>0</v>
      </c>
      <c r="AB43" s="111">
        <f t="shared" si="5"/>
        <v>7.3608808302564624E-2</v>
      </c>
      <c r="AD43" s="56"/>
    </row>
    <row r="44" spans="1:30">
      <c r="A44" s="48"/>
      <c r="B44" s="38" t="s">
        <v>14</v>
      </c>
      <c r="C44" s="40" t="s">
        <v>178</v>
      </c>
      <c r="D44" s="40"/>
      <c r="E44" s="55" t="s">
        <v>18</v>
      </c>
      <c r="F44" s="55" t="s">
        <v>18</v>
      </c>
      <c r="G44" s="42" t="s">
        <v>179</v>
      </c>
      <c r="H44" s="43" t="s">
        <v>237</v>
      </c>
      <c r="I44" s="44" t="s">
        <v>6</v>
      </c>
      <c r="J44" s="45" t="s">
        <v>18</v>
      </c>
      <c r="K44" s="45" t="s">
        <v>237</v>
      </c>
      <c r="L44" s="127"/>
      <c r="M44" s="128"/>
      <c r="N44" s="50">
        <v>1903</v>
      </c>
      <c r="O44" s="51">
        <v>492.95</v>
      </c>
      <c r="P44" s="206"/>
      <c r="Q44" s="209"/>
      <c r="R44" s="26"/>
      <c r="S44" s="200">
        <f t="shared" si="3"/>
        <v>0</v>
      </c>
      <c r="T44" s="105">
        <f>L44*0.1*0.005*0.001*Reference!$F$7</f>
        <v>0</v>
      </c>
      <c r="U44" s="105">
        <f>L44*0.1*0.0001*0.001*Reference!$F$8</f>
        <v>0</v>
      </c>
      <c r="V44" s="201">
        <f>(N44*Reference!$C$6/1000)/2204.62</f>
        <v>0.53949206666001404</v>
      </c>
      <c r="W44" s="109">
        <f>(N44/1000*0.02482)/2204.62*Reference!$F$7</f>
        <v>4.4991048797525198E-4</v>
      </c>
      <c r="X44" s="109">
        <f>(N44/1000*0.01119)/2204.62*Reference!$F$8</f>
        <v>2.9943104480590764E-3</v>
      </c>
      <c r="Y44" s="105">
        <f t="shared" si="4"/>
        <v>0</v>
      </c>
      <c r="Z44" s="285">
        <f>(P44*0.0916)*3*0.000001*Reference!$F$7</f>
        <v>0</v>
      </c>
      <c r="AA44" s="285">
        <f>(P44*0.0961)*0.6*0.000001*Reference!$F$8</f>
        <v>0</v>
      </c>
      <c r="AB44" s="111">
        <f t="shared" si="5"/>
        <v>0.54293628759604839</v>
      </c>
    </row>
    <row r="45" spans="1:30">
      <c r="A45" s="48"/>
      <c r="B45" s="38" t="s">
        <v>14</v>
      </c>
      <c r="C45" s="40" t="s">
        <v>180</v>
      </c>
      <c r="D45" s="54"/>
      <c r="E45" s="55" t="s">
        <v>262</v>
      </c>
      <c r="F45" s="55" t="s">
        <v>181</v>
      </c>
      <c r="G45" s="55" t="s">
        <v>184</v>
      </c>
      <c r="H45" s="43" t="s">
        <v>237</v>
      </c>
      <c r="I45" s="57" t="s">
        <v>6</v>
      </c>
      <c r="J45" s="57" t="s">
        <v>17</v>
      </c>
      <c r="K45" s="45" t="s">
        <v>237</v>
      </c>
      <c r="L45" s="129"/>
      <c r="M45" s="128"/>
      <c r="N45" s="50">
        <v>615</v>
      </c>
      <c r="O45" s="51">
        <v>331.75</v>
      </c>
      <c r="P45" s="205"/>
      <c r="Q45" s="209"/>
      <c r="R45" s="26"/>
      <c r="S45" s="200">
        <f t="shared" si="3"/>
        <v>0</v>
      </c>
      <c r="T45" s="105">
        <f>L45*0.1*0.005*0.001*Reference!$F$7</f>
        <v>0</v>
      </c>
      <c r="U45" s="105">
        <f>L45*0.1*0.0001*0.001*Reference!$F$8</f>
        <v>0</v>
      </c>
      <c r="V45" s="201">
        <f>(N45*Reference!$C$6/1000)/2204.62</f>
        <v>0.17434977456432402</v>
      </c>
      <c r="W45" s="109">
        <f>(N45/1000*0.02482)/2204.62*Reference!$F$7</f>
        <v>1.4539934319746713E-4</v>
      </c>
      <c r="X45" s="109">
        <f>(N45/1000*0.01119)/2204.62*Reference!$F$8</f>
        <v>9.6768309277789376E-4</v>
      </c>
      <c r="Y45" s="105">
        <f t="shared" si="4"/>
        <v>0</v>
      </c>
      <c r="Z45" s="285">
        <f>(P45*0.0916)*3*0.000001*Reference!$F$7</f>
        <v>0</v>
      </c>
      <c r="AA45" s="285">
        <f>(P45*0.0961)*0.6*0.000001*Reference!$F$8</f>
        <v>0</v>
      </c>
      <c r="AB45" s="111">
        <f t="shared" si="5"/>
        <v>0.17546285700029937</v>
      </c>
      <c r="AD45" s="56"/>
    </row>
    <row r="46" spans="1:30">
      <c r="A46" s="48"/>
      <c r="B46" s="38" t="s">
        <v>14</v>
      </c>
      <c r="C46" s="40" t="s">
        <v>182</v>
      </c>
      <c r="D46" s="40"/>
      <c r="E46" s="55" t="s">
        <v>262</v>
      </c>
      <c r="F46" s="41" t="s">
        <v>181</v>
      </c>
      <c r="G46" s="42" t="s">
        <v>183</v>
      </c>
      <c r="H46" s="43" t="s">
        <v>237</v>
      </c>
      <c r="I46" s="44" t="s">
        <v>6</v>
      </c>
      <c r="J46" s="45" t="s">
        <v>17</v>
      </c>
      <c r="K46" s="45" t="s">
        <v>237</v>
      </c>
      <c r="L46" s="127"/>
      <c r="M46" s="128"/>
      <c r="N46" s="50">
        <v>4956</v>
      </c>
      <c r="O46" s="51">
        <v>872.77</v>
      </c>
      <c r="P46" s="206"/>
      <c r="Q46" s="209"/>
      <c r="R46" s="26"/>
      <c r="S46" s="200">
        <f t="shared" si="3"/>
        <v>0</v>
      </c>
      <c r="T46" s="105">
        <f>L46*0.1*0.005*0.001*Reference!$F$7</f>
        <v>0</v>
      </c>
      <c r="U46" s="105">
        <f>L46*0.1*0.0001*0.001*Reference!$F$8</f>
        <v>0</v>
      </c>
      <c r="V46" s="201">
        <f>(N46*Reference!$C$6/1000)/2204.62</f>
        <v>1.4050040369768941</v>
      </c>
      <c r="W46" s="109">
        <f>(N46/1000*0.02482)/2204.62*Reference!$F$7</f>
        <v>1.1717059266449549E-3</v>
      </c>
      <c r="X46" s="109">
        <f>(N46/1000*0.01119)/2204.62*Reference!$F$8</f>
        <v>7.7981096061906369E-3</v>
      </c>
      <c r="Y46" s="105">
        <f t="shared" si="4"/>
        <v>0</v>
      </c>
      <c r="Z46" s="285">
        <f>(P46*0.0916)*3*0.000001*Reference!$F$7</f>
        <v>0</v>
      </c>
      <c r="AA46" s="285">
        <f>(P46*0.0961)*0.6*0.000001*Reference!$F$8</f>
        <v>0</v>
      </c>
      <c r="AB46" s="111">
        <f t="shared" si="5"/>
        <v>1.4139738525097296</v>
      </c>
    </row>
    <row r="47" spans="1:30">
      <c r="A47" s="48"/>
      <c r="B47" s="38" t="s">
        <v>14</v>
      </c>
      <c r="C47" s="40" t="s">
        <v>185</v>
      </c>
      <c r="D47" s="40"/>
      <c r="E47" s="55" t="s">
        <v>262</v>
      </c>
      <c r="F47" s="41" t="s">
        <v>181</v>
      </c>
      <c r="G47" s="42" t="s">
        <v>186</v>
      </c>
      <c r="H47" s="43" t="s">
        <v>237</v>
      </c>
      <c r="I47" s="44" t="s">
        <v>6</v>
      </c>
      <c r="J47" s="45" t="s">
        <v>17</v>
      </c>
      <c r="K47" s="45" t="s">
        <v>237</v>
      </c>
      <c r="L47" s="127"/>
      <c r="M47" s="128"/>
      <c r="N47" s="50">
        <v>818</v>
      </c>
      <c r="O47" s="51">
        <v>357.18</v>
      </c>
      <c r="P47" s="206"/>
      <c r="Q47" s="209"/>
      <c r="R47" s="26"/>
      <c r="S47" s="200">
        <f t="shared" si="3"/>
        <v>0</v>
      </c>
      <c r="T47" s="105">
        <f>L47*0.1*0.005*0.001*Reference!$F$7</f>
        <v>0</v>
      </c>
      <c r="U47" s="105">
        <f>L47*0.1*0.0001*0.001*Reference!$F$8</f>
        <v>0</v>
      </c>
      <c r="V47" s="201">
        <f>(N47*Reference!$C$6/1000)/2204.62</f>
        <v>0.23189937494897081</v>
      </c>
      <c r="W47" s="109">
        <f>(N47/1000*0.02482)/2204.62*Reference!$F$7</f>
        <v>1.9339294753744406E-4</v>
      </c>
      <c r="X47" s="109">
        <f>(N47/1000*0.01119)/2204.62*Reference!$F$8</f>
        <v>1.2870971868167757E-3</v>
      </c>
      <c r="Y47" s="105">
        <f t="shared" si="4"/>
        <v>0</v>
      </c>
      <c r="Z47" s="285">
        <f>(P47*0.0916)*3*0.000001*Reference!$F$7</f>
        <v>0</v>
      </c>
      <c r="AA47" s="285">
        <f>(P47*0.0961)*0.6*0.000001*Reference!$F$8</f>
        <v>0</v>
      </c>
      <c r="AB47" s="111">
        <f t="shared" si="5"/>
        <v>0.23337986508332503</v>
      </c>
      <c r="AD47" s="56"/>
    </row>
    <row r="48" spans="1:30">
      <c r="A48" s="48"/>
      <c r="B48" s="38" t="s">
        <v>14</v>
      </c>
      <c r="C48" s="40" t="s">
        <v>187</v>
      </c>
      <c r="D48" s="40"/>
      <c r="E48" s="55" t="s">
        <v>262</v>
      </c>
      <c r="F48" s="41" t="s">
        <v>181</v>
      </c>
      <c r="G48" s="42" t="s">
        <v>188</v>
      </c>
      <c r="H48" s="43" t="s">
        <v>237</v>
      </c>
      <c r="I48" s="44" t="s">
        <v>6</v>
      </c>
      <c r="J48" s="45" t="s">
        <v>17</v>
      </c>
      <c r="K48" s="45" t="s">
        <v>237</v>
      </c>
      <c r="L48" s="127"/>
      <c r="M48" s="128"/>
      <c r="N48" s="50">
        <v>4278</v>
      </c>
      <c r="O48" s="51">
        <v>790.71</v>
      </c>
      <c r="P48" s="206"/>
      <c r="Q48" s="209"/>
      <c r="R48" s="26"/>
      <c r="S48" s="200">
        <f t="shared" si="3"/>
        <v>0</v>
      </c>
      <c r="T48" s="105">
        <f>L48*0.1*0.005*0.001*Reference!$F$7</f>
        <v>0</v>
      </c>
      <c r="U48" s="105">
        <f>L48*0.1*0.0001*0.001*Reference!$F$8</f>
        <v>0</v>
      </c>
      <c r="V48" s="201">
        <f>(N48*Reference!$C$6/1000)/2204.62</f>
        <v>1.2127940416035417</v>
      </c>
      <c r="W48" s="109">
        <f>(N48/1000*0.02482)/2204.62*Reference!$F$7</f>
        <v>1.0114120165833566E-3</v>
      </c>
      <c r="X48" s="109">
        <f>(N48/1000*0.01119)/2204.62*Reference!$F$8</f>
        <v>6.7312980014696405E-3</v>
      </c>
      <c r="Y48" s="105">
        <f t="shared" si="4"/>
        <v>0</v>
      </c>
      <c r="Z48" s="285">
        <f>(P48*0.0916)*3*0.000001*Reference!$F$7</f>
        <v>0</v>
      </c>
      <c r="AA48" s="285">
        <f>(P48*0.0961)*0.6*0.000001*Reference!$F$8</f>
        <v>0</v>
      </c>
      <c r="AB48" s="111">
        <f t="shared" si="5"/>
        <v>1.2205367516215946</v>
      </c>
    </row>
    <row r="49" spans="1:30">
      <c r="A49" s="48"/>
      <c r="B49" s="38" t="s">
        <v>14</v>
      </c>
      <c r="C49" s="40" t="s">
        <v>189</v>
      </c>
      <c r="D49" s="54"/>
      <c r="E49" s="55" t="s">
        <v>262</v>
      </c>
      <c r="F49" s="55" t="s">
        <v>181</v>
      </c>
      <c r="G49" s="55" t="s">
        <v>190</v>
      </c>
      <c r="H49" s="43" t="s">
        <v>237</v>
      </c>
      <c r="I49" s="57" t="s">
        <v>6</v>
      </c>
      <c r="J49" s="57" t="s">
        <v>17</v>
      </c>
      <c r="K49" s="45" t="s">
        <v>237</v>
      </c>
      <c r="L49" s="129"/>
      <c r="M49" s="128"/>
      <c r="N49" s="50">
        <v>772</v>
      </c>
      <c r="O49" s="51">
        <v>351.36</v>
      </c>
      <c r="P49" s="205"/>
      <c r="Q49" s="209"/>
      <c r="R49" s="26"/>
      <c r="S49" s="200">
        <f t="shared" si="3"/>
        <v>0</v>
      </c>
      <c r="T49" s="105">
        <f>L49*0.1*0.005*0.001*Reference!$F$7</f>
        <v>0</v>
      </c>
      <c r="U49" s="105">
        <f>L49*0.1*0.0001*0.001*Reference!$F$8</f>
        <v>0</v>
      </c>
      <c r="V49" s="201">
        <f>(N49*Reference!$C$6/1000)/2204.62</f>
        <v>0.21885857880269616</v>
      </c>
      <c r="W49" s="109">
        <f>(N49/1000*0.02482)/2204.62*Reference!$F$7</f>
        <v>1.8251754950966608E-4</v>
      </c>
      <c r="X49" s="109">
        <f>(N49/1000*0.01119)/2204.62*Reference!$F$8</f>
        <v>1.2147176384138766E-3</v>
      </c>
      <c r="Y49" s="105">
        <f t="shared" si="4"/>
        <v>0</v>
      </c>
      <c r="Z49" s="285">
        <f>(P49*0.0916)*3*0.000001*Reference!$F$7</f>
        <v>0</v>
      </c>
      <c r="AA49" s="285">
        <f>(P49*0.0961)*0.6*0.000001*Reference!$F$8</f>
        <v>0</v>
      </c>
      <c r="AB49" s="111">
        <f t="shared" si="5"/>
        <v>0.22025581399061969</v>
      </c>
    </row>
    <row r="50" spans="1:30">
      <c r="A50" s="48"/>
      <c r="B50" s="38" t="s">
        <v>14</v>
      </c>
      <c r="C50" s="40" t="s">
        <v>191</v>
      </c>
      <c r="D50" s="40"/>
      <c r="E50" s="55" t="s">
        <v>262</v>
      </c>
      <c r="F50" s="41" t="s">
        <v>181</v>
      </c>
      <c r="G50" s="42" t="s">
        <v>192</v>
      </c>
      <c r="H50" s="43" t="s">
        <v>237</v>
      </c>
      <c r="I50" s="44" t="s">
        <v>6</v>
      </c>
      <c r="J50" s="45" t="s">
        <v>17</v>
      </c>
      <c r="K50" s="45" t="s">
        <v>237</v>
      </c>
      <c r="L50" s="127"/>
      <c r="M50" s="128"/>
      <c r="N50" s="50">
        <v>1886</v>
      </c>
      <c r="O50" s="51">
        <v>490.11</v>
      </c>
      <c r="P50" s="206"/>
      <c r="Q50" s="209"/>
      <c r="R50" s="26"/>
      <c r="S50" s="200">
        <f t="shared" si="3"/>
        <v>0</v>
      </c>
      <c r="T50" s="105">
        <f>L50*0.1*0.005*0.001*Reference!$F$7</f>
        <v>0</v>
      </c>
      <c r="U50" s="105">
        <f>L50*0.1*0.0001*0.001*Reference!$F$8</f>
        <v>0</v>
      </c>
      <c r="V50" s="201">
        <f>(N50*Reference!$C$6/1000)/2204.62</f>
        <v>0.53467264199726028</v>
      </c>
      <c r="W50" s="109">
        <f>(N50/1000*0.02482)/2204.62*Reference!$F$7</f>
        <v>4.4589131913889919E-4</v>
      </c>
      <c r="X50" s="109">
        <f>(N50/1000*0.01119)/2204.62*Reference!$F$8</f>
        <v>2.9675614845188739E-3</v>
      </c>
      <c r="Y50" s="105">
        <f t="shared" si="4"/>
        <v>0</v>
      </c>
      <c r="Z50" s="285">
        <f>(P50*0.0916)*3*0.000001*Reference!$F$7</f>
        <v>0</v>
      </c>
      <c r="AA50" s="285">
        <f>(P50*0.0961)*0.6*0.000001*Reference!$F$8</f>
        <v>0</v>
      </c>
      <c r="AB50" s="111">
        <f t="shared" si="5"/>
        <v>0.53808609480091796</v>
      </c>
      <c r="AD50" s="56"/>
    </row>
    <row r="51" spans="1:30">
      <c r="A51" s="48"/>
      <c r="B51" s="38" t="s">
        <v>14</v>
      </c>
      <c r="C51" s="40" t="s">
        <v>193</v>
      </c>
      <c r="D51" s="40"/>
      <c r="E51" s="55" t="s">
        <v>262</v>
      </c>
      <c r="F51" s="41" t="s">
        <v>181</v>
      </c>
      <c r="G51" s="42" t="s">
        <v>194</v>
      </c>
      <c r="H51" s="43" t="s">
        <v>237</v>
      </c>
      <c r="I51" s="44" t="s">
        <v>6</v>
      </c>
      <c r="J51" s="45" t="s">
        <v>17</v>
      </c>
      <c r="K51" s="45" t="s">
        <v>237</v>
      </c>
      <c r="L51" s="127"/>
      <c r="M51" s="128"/>
      <c r="N51" s="50">
        <v>901</v>
      </c>
      <c r="O51" s="51">
        <v>367.41</v>
      </c>
      <c r="P51" s="206"/>
      <c r="Q51" s="209"/>
      <c r="R51" s="26"/>
      <c r="S51" s="200">
        <f t="shared" si="3"/>
        <v>0</v>
      </c>
      <c r="T51" s="105">
        <f>L51*0.1*0.005*0.001*Reference!$F$7</f>
        <v>0</v>
      </c>
      <c r="U51" s="105">
        <f>L51*0.1*0.0001*0.001*Reference!$F$8</f>
        <v>0</v>
      </c>
      <c r="V51" s="201">
        <f>(N51*Reference!$C$6/1000)/2204.62</f>
        <v>0.25542950712594464</v>
      </c>
      <c r="W51" s="109">
        <f>(N51/1000*0.02482)/2204.62*Reference!$F$7</f>
        <v>2.1301594832669576E-4</v>
      </c>
      <c r="X51" s="109">
        <f>(N51/1000*0.01119)/2204.62*Reference!$F$8</f>
        <v>1.4176950676307032E-3</v>
      </c>
      <c r="Y51" s="105">
        <f t="shared" si="4"/>
        <v>0</v>
      </c>
      <c r="Z51" s="285">
        <f>(P51*0.0916)*3*0.000001*Reference!$F$7</f>
        <v>0</v>
      </c>
      <c r="AA51" s="285">
        <f>(P51*0.0961)*0.6*0.000001*Reference!$F$8</f>
        <v>0</v>
      </c>
      <c r="AB51" s="111">
        <f t="shared" si="5"/>
        <v>0.25706021814190205</v>
      </c>
    </row>
    <row r="52" spans="1:30">
      <c r="A52" s="48"/>
      <c r="B52" s="38" t="s">
        <v>14</v>
      </c>
      <c r="C52" s="40" t="s">
        <v>195</v>
      </c>
      <c r="D52" s="40"/>
      <c r="E52" s="55" t="s">
        <v>262</v>
      </c>
      <c r="F52" s="41" t="s">
        <v>181</v>
      </c>
      <c r="G52" s="42" t="s">
        <v>196</v>
      </c>
      <c r="H52" s="43" t="s">
        <v>237</v>
      </c>
      <c r="I52" s="44" t="s">
        <v>6</v>
      </c>
      <c r="J52" s="45" t="s">
        <v>17</v>
      </c>
      <c r="K52" s="45" t="s">
        <v>237</v>
      </c>
      <c r="L52" s="127"/>
      <c r="M52" s="128"/>
      <c r="N52" s="50">
        <v>3323</v>
      </c>
      <c r="O52" s="51">
        <v>498.12</v>
      </c>
      <c r="P52" s="206"/>
      <c r="Q52" s="209"/>
      <c r="R52" s="26"/>
      <c r="S52" s="200">
        <f t="shared" si="3"/>
        <v>0</v>
      </c>
      <c r="T52" s="105">
        <f>L52*0.1*0.005*0.001*Reference!$F$7</f>
        <v>0</v>
      </c>
      <c r="U52" s="105">
        <f>L52*0.1*0.0001*0.001*Reference!$F$8</f>
        <v>0</v>
      </c>
      <c r="V52" s="201">
        <f>(N52*Reference!$C$6/1000)/2204.62</f>
        <v>0.94205577378414429</v>
      </c>
      <c r="W52" s="109">
        <f>(N52/1000*0.02482)/2204.62*Reference!$F$7</f>
        <v>7.8562929665883469E-4</v>
      </c>
      <c r="X52" s="109">
        <f>(N52/1000*0.01119)/2204.62*Reference!$F$8</f>
        <v>5.2286356378877085E-3</v>
      </c>
      <c r="Y52" s="105">
        <f t="shared" si="4"/>
        <v>0</v>
      </c>
      <c r="Z52" s="285">
        <f>(P52*0.0916)*3*0.000001*Reference!$F$7</f>
        <v>0</v>
      </c>
      <c r="AA52" s="285">
        <f>(P52*0.0961)*0.6*0.000001*Reference!$F$8</f>
        <v>0</v>
      </c>
      <c r="AB52" s="111">
        <f t="shared" si="5"/>
        <v>0.94807003871869078</v>
      </c>
    </row>
    <row r="53" spans="1:30">
      <c r="A53" s="48"/>
      <c r="B53" s="38" t="s">
        <v>14</v>
      </c>
      <c r="C53" s="40" t="s">
        <v>197</v>
      </c>
      <c r="D53" s="54"/>
      <c r="E53" s="55" t="s">
        <v>262</v>
      </c>
      <c r="F53" s="55" t="s">
        <v>181</v>
      </c>
      <c r="G53" s="55" t="s">
        <v>198</v>
      </c>
      <c r="H53" s="43" t="s">
        <v>237</v>
      </c>
      <c r="I53" s="57" t="s">
        <v>6</v>
      </c>
      <c r="J53" s="57" t="s">
        <v>17</v>
      </c>
      <c r="K53" s="45" t="s">
        <v>237</v>
      </c>
      <c r="L53" s="129"/>
      <c r="M53" s="128"/>
      <c r="N53" s="50">
        <v>848</v>
      </c>
      <c r="O53" s="51">
        <v>360.8</v>
      </c>
      <c r="P53" s="205"/>
      <c r="Q53" s="209"/>
      <c r="R53" s="26"/>
      <c r="S53" s="200">
        <f t="shared" si="3"/>
        <v>0</v>
      </c>
      <c r="T53" s="105">
        <f>L53*0.1*0.005*0.001*Reference!$F$7</f>
        <v>0</v>
      </c>
      <c r="U53" s="105">
        <f>L53*0.1*0.0001*0.001*Reference!$F$8</f>
        <v>0</v>
      </c>
      <c r="V53" s="201">
        <f>(N53*Reference!$C$6/1000)/2204.62</f>
        <v>0.24040424200088906</v>
      </c>
      <c r="W53" s="109">
        <f>(N53/1000*0.02482)/2204.62*Reference!$F$7</f>
        <v>2.004855984251254E-4</v>
      </c>
      <c r="X53" s="109">
        <f>(N53/1000*0.01119)/2204.62*Reference!$F$8</f>
        <v>1.3343012401230143E-3</v>
      </c>
      <c r="Y53" s="105">
        <f t="shared" si="4"/>
        <v>0</v>
      </c>
      <c r="Z53" s="285">
        <f>(P53*0.0916)*3*0.000001*Reference!$F$7</f>
        <v>0</v>
      </c>
      <c r="AA53" s="285">
        <f>(P53*0.0961)*0.6*0.000001*Reference!$F$8</f>
        <v>0</v>
      </c>
      <c r="AB53" s="111">
        <f t="shared" si="5"/>
        <v>0.24193902883943719</v>
      </c>
      <c r="AD53" s="56"/>
    </row>
    <row r="54" spans="1:30">
      <c r="A54" s="48"/>
      <c r="B54" s="38" t="s">
        <v>14</v>
      </c>
      <c r="C54" s="40" t="s">
        <v>199</v>
      </c>
      <c r="D54" s="40"/>
      <c r="E54" s="55" t="s">
        <v>262</v>
      </c>
      <c r="F54" s="41" t="s">
        <v>181</v>
      </c>
      <c r="G54" s="42" t="s">
        <v>200</v>
      </c>
      <c r="H54" s="43" t="s">
        <v>237</v>
      </c>
      <c r="I54" s="44" t="s">
        <v>6</v>
      </c>
      <c r="J54" s="45" t="s">
        <v>17</v>
      </c>
      <c r="K54" s="45" t="s">
        <v>237</v>
      </c>
      <c r="L54" s="127"/>
      <c r="M54" s="128"/>
      <c r="N54" s="50">
        <v>11995</v>
      </c>
      <c r="O54" s="51">
        <v>1749.58</v>
      </c>
      <c r="P54" s="206"/>
      <c r="Q54" s="209"/>
      <c r="R54" s="26"/>
      <c r="S54" s="200">
        <f t="shared" si="3"/>
        <v>0</v>
      </c>
      <c r="T54" s="105">
        <f>L54*0.1*0.005*0.001*Reference!$F$7</f>
        <v>0</v>
      </c>
      <c r="U54" s="105">
        <f>L54*0.1*0.0001*0.001*Reference!$F$8</f>
        <v>0</v>
      </c>
      <c r="V54" s="201">
        <f>(N54*Reference!$C$6/1000)/2204.62</f>
        <v>3.4005293429253114</v>
      </c>
      <c r="W54" s="109">
        <f>(N54/1000*0.02482)/2204.62*Reference!$F$7</f>
        <v>2.8358782465912492E-3</v>
      </c>
      <c r="X54" s="109">
        <f>(N54/1000*0.01119)/2204.62*Reference!$F$8</f>
        <v>1.8873753980277779E-2</v>
      </c>
      <c r="Y54" s="105">
        <f t="shared" si="4"/>
        <v>0</v>
      </c>
      <c r="Z54" s="285">
        <f>(P54*0.0916)*3*0.000001*Reference!$F$7</f>
        <v>0</v>
      </c>
      <c r="AA54" s="285">
        <f>(P54*0.0961)*0.6*0.000001*Reference!$F$8</f>
        <v>0</v>
      </c>
      <c r="AB54" s="111">
        <f t="shared" si="5"/>
        <v>3.4222389751521805</v>
      </c>
    </row>
    <row r="55" spans="1:30">
      <c r="A55" s="48"/>
      <c r="B55" s="38" t="s">
        <v>14</v>
      </c>
      <c r="C55" s="40" t="s">
        <v>201</v>
      </c>
      <c r="D55" s="54"/>
      <c r="E55" s="55" t="s">
        <v>262</v>
      </c>
      <c r="F55" s="55" t="s">
        <v>181</v>
      </c>
      <c r="G55" s="55" t="s">
        <v>157</v>
      </c>
      <c r="H55" s="43" t="s">
        <v>237</v>
      </c>
      <c r="I55" s="57" t="s">
        <v>6</v>
      </c>
      <c r="J55" s="57" t="s">
        <v>17</v>
      </c>
      <c r="K55" s="45" t="s">
        <v>237</v>
      </c>
      <c r="L55" s="129"/>
      <c r="M55" s="128"/>
      <c r="N55" s="50">
        <v>1317</v>
      </c>
      <c r="O55" s="51">
        <v>419.25</v>
      </c>
      <c r="P55" s="205"/>
      <c r="Q55" s="209"/>
      <c r="R55" s="26"/>
      <c r="S55" s="200">
        <f t="shared" si="3"/>
        <v>0</v>
      </c>
      <c r="T55" s="105">
        <f>L55*0.1*0.005*0.001*Reference!$F$7</f>
        <v>0</v>
      </c>
      <c r="U55" s="105">
        <f>L55*0.1*0.0001*0.001*Reference!$F$8</f>
        <v>0</v>
      </c>
      <c r="V55" s="201">
        <f>(N55*Reference!$C$6/1000)/2204.62</f>
        <v>0.37336366357921097</v>
      </c>
      <c r="W55" s="109">
        <f>(N55/1000*0.02482)/2204.62*Reference!$F$7</f>
        <v>3.1136737396921009E-4</v>
      </c>
      <c r="X55" s="284">
        <f>(N55/1000*0.01119)/2204.62*Reference!$F$8</f>
        <v>2.0722579401438799E-3</v>
      </c>
      <c r="Y55" s="105">
        <f t="shared" si="4"/>
        <v>0</v>
      </c>
      <c r="Z55" s="285">
        <f>(P55*0.0916)*3*0.000001*Reference!$F$7</f>
        <v>0</v>
      </c>
      <c r="AA55" s="285">
        <f>(P55*0.0961)*0.6*0.000001*Reference!$F$8</f>
        <v>0</v>
      </c>
      <c r="AB55" s="111">
        <f t="shared" si="5"/>
        <v>0.37574728889332404</v>
      </c>
    </row>
    <row r="56" spans="1:30">
      <c r="A56" s="48"/>
      <c r="B56" s="38" t="s">
        <v>14</v>
      </c>
      <c r="C56" s="40" t="s">
        <v>202</v>
      </c>
      <c r="D56" s="40"/>
      <c r="E56" s="55" t="s">
        <v>262</v>
      </c>
      <c r="F56" s="41" t="s">
        <v>181</v>
      </c>
      <c r="G56" s="42" t="s">
        <v>203</v>
      </c>
      <c r="H56" s="43" t="s">
        <v>237</v>
      </c>
      <c r="I56" s="44" t="s">
        <v>6</v>
      </c>
      <c r="J56" s="45" t="s">
        <v>17</v>
      </c>
      <c r="K56" s="45" t="s">
        <v>237</v>
      </c>
      <c r="L56" s="127"/>
      <c r="M56" s="128"/>
      <c r="N56" s="50">
        <v>2510</v>
      </c>
      <c r="O56" s="51">
        <v>568.1</v>
      </c>
      <c r="P56" s="206"/>
      <c r="Q56" s="209"/>
      <c r="R56" s="26"/>
      <c r="S56" s="200">
        <f t="shared" si="3"/>
        <v>0</v>
      </c>
      <c r="T56" s="105">
        <f>L56*0.1*0.005*0.001*Reference!$F$7</f>
        <v>0</v>
      </c>
      <c r="U56" s="105">
        <f>L56*0.1*0.0001*0.001*Reference!$F$8</f>
        <v>0</v>
      </c>
      <c r="V56" s="201">
        <f>(N56*Reference!$C$6/1000)/2204.62</f>
        <v>0.71157387667715977</v>
      </c>
      <c r="W56" s="109">
        <f>(N56/1000*0.02482)/2204.62*Reference!$F$7</f>
        <v>5.9341845760267067E-4</v>
      </c>
      <c r="X56" s="109">
        <f>(N56/1000*0.01119)/2204.62*Reference!$F$8</f>
        <v>3.9494057932886392E-3</v>
      </c>
      <c r="Y56" s="105">
        <f t="shared" si="4"/>
        <v>0</v>
      </c>
      <c r="Z56" s="285">
        <f>(P56*0.0916)*3*0.000001*Reference!$F$7</f>
        <v>0</v>
      </c>
      <c r="AA56" s="285">
        <f>(P56*0.0961)*0.6*0.000001*Reference!$F$8</f>
        <v>0</v>
      </c>
      <c r="AB56" s="111">
        <f t="shared" si="5"/>
        <v>0.71611670092805102</v>
      </c>
      <c r="AD56" s="56"/>
    </row>
    <row r="57" spans="1:30">
      <c r="A57" s="48"/>
      <c r="B57" s="38" t="s">
        <v>14</v>
      </c>
      <c r="C57" s="40" t="s">
        <v>204</v>
      </c>
      <c r="D57" s="40"/>
      <c r="E57" s="55" t="s">
        <v>262</v>
      </c>
      <c r="F57" s="41" t="s">
        <v>181</v>
      </c>
      <c r="G57" s="42" t="s">
        <v>212</v>
      </c>
      <c r="H57" s="43" t="s">
        <v>237</v>
      </c>
      <c r="I57" s="44" t="s">
        <v>6</v>
      </c>
      <c r="J57" s="45" t="s">
        <v>17</v>
      </c>
      <c r="K57" s="45" t="s">
        <v>237</v>
      </c>
      <c r="L57" s="127"/>
      <c r="M57" s="128"/>
      <c r="N57" s="50">
        <v>863</v>
      </c>
      <c r="O57" s="51">
        <v>362.66</v>
      </c>
      <c r="P57" s="206"/>
      <c r="Q57" s="209"/>
      <c r="R57" s="26"/>
      <c r="S57" s="200">
        <f t="shared" si="3"/>
        <v>0</v>
      </c>
      <c r="T57" s="105">
        <f>L57*0.1*0.005*0.001*Reference!$F$7</f>
        <v>0</v>
      </c>
      <c r="U57" s="105">
        <f>L57*0.1*0.0001*0.001*Reference!$F$8</f>
        <v>0</v>
      </c>
      <c r="V57" s="201">
        <f>(N57*Reference!$C$6/1000)/2204.62</f>
        <v>0.24465667552684817</v>
      </c>
      <c r="W57" s="109">
        <f>(N57/1000*0.02482)/2204.62*Reference!$F$7</f>
        <v>2.0403192386896606E-4</v>
      </c>
      <c r="X57" s="109">
        <f>(N57/1000*0.01119)/2204.62*Reference!$F$8</f>
        <v>1.3579032667761339E-3</v>
      </c>
      <c r="Y57" s="105">
        <f t="shared" si="4"/>
        <v>0</v>
      </c>
      <c r="Z57" s="285">
        <f>(P57*0.0916)*3*0.000001*Reference!$F$7</f>
        <v>0</v>
      </c>
      <c r="AA57" s="285">
        <f>(P57*0.0961)*0.6*0.000001*Reference!$F$8</f>
        <v>0</v>
      </c>
      <c r="AB57" s="111">
        <f t="shared" si="5"/>
        <v>0.24621861071749326</v>
      </c>
    </row>
    <row r="58" spans="1:30">
      <c r="A58" s="48"/>
      <c r="B58" s="38" t="s">
        <v>14</v>
      </c>
      <c r="C58" s="40" t="s">
        <v>205</v>
      </c>
      <c r="D58" s="40"/>
      <c r="E58" s="55" t="s">
        <v>262</v>
      </c>
      <c r="F58" s="41" t="s">
        <v>181</v>
      </c>
      <c r="G58" s="42" t="s">
        <v>213</v>
      </c>
      <c r="H58" s="43" t="s">
        <v>237</v>
      </c>
      <c r="I58" s="44" t="s">
        <v>6</v>
      </c>
      <c r="J58" s="45" t="s">
        <v>17</v>
      </c>
      <c r="K58" s="45" t="s">
        <v>237</v>
      </c>
      <c r="L58" s="127"/>
      <c r="M58" s="128"/>
      <c r="N58" s="50">
        <v>1188</v>
      </c>
      <c r="O58" s="51">
        <v>403.24</v>
      </c>
      <c r="P58" s="206"/>
      <c r="Q58" s="209"/>
      <c r="R58" s="26"/>
      <c r="S58" s="200">
        <f t="shared" si="3"/>
        <v>0</v>
      </c>
      <c r="T58" s="105">
        <f>L58*0.1*0.005*0.001*Reference!$F$7</f>
        <v>0</v>
      </c>
      <c r="U58" s="105">
        <f>L58*0.1*0.0001*0.001*Reference!$F$8</f>
        <v>0</v>
      </c>
      <c r="V58" s="201">
        <f>(N58*Reference!$C$6/1000)/2204.62</f>
        <v>0.33679273525596248</v>
      </c>
      <c r="W58" s="109">
        <f>(N58/1000*0.02482)/2204.62*Reference!$F$7</f>
        <v>2.8086897515218039E-4</v>
      </c>
      <c r="X58" s="109">
        <f>(N58/1000*0.01119)/2204.62*Reference!$F$8</f>
        <v>1.8692805109270531E-3</v>
      </c>
      <c r="Y58" s="105">
        <f t="shared" si="4"/>
        <v>0</v>
      </c>
      <c r="Z58" s="285">
        <f>(P58*0.0916)*3*0.000001*Reference!$F$7</f>
        <v>0</v>
      </c>
      <c r="AA58" s="285">
        <f>(P58*0.0961)*0.6*0.000001*Reference!$F$8</f>
        <v>0</v>
      </c>
      <c r="AB58" s="111">
        <f t="shared" si="5"/>
        <v>0.33894288474204171</v>
      </c>
    </row>
    <row r="59" spans="1:30">
      <c r="A59" s="48"/>
      <c r="B59" s="38" t="s">
        <v>14</v>
      </c>
      <c r="C59" s="40" t="s">
        <v>206</v>
      </c>
      <c r="D59" s="54"/>
      <c r="E59" s="55" t="s">
        <v>262</v>
      </c>
      <c r="F59" s="55" t="s">
        <v>181</v>
      </c>
      <c r="G59" s="55" t="s">
        <v>207</v>
      </c>
      <c r="H59" s="43" t="s">
        <v>237</v>
      </c>
      <c r="I59" s="57" t="s">
        <v>6</v>
      </c>
      <c r="J59" s="57" t="s">
        <v>17</v>
      </c>
      <c r="K59" s="45" t="s">
        <v>237</v>
      </c>
      <c r="L59" s="129"/>
      <c r="M59" s="128"/>
      <c r="N59" s="50">
        <v>904</v>
      </c>
      <c r="O59" s="51">
        <v>367.74</v>
      </c>
      <c r="P59" s="205"/>
      <c r="Q59" s="209"/>
      <c r="R59" s="26"/>
      <c r="S59" s="200">
        <f t="shared" si="3"/>
        <v>0</v>
      </c>
      <c r="T59" s="105">
        <f>L59*0.1*0.005*0.001*Reference!$F$7</f>
        <v>0</v>
      </c>
      <c r="U59" s="105">
        <f>L59*0.1*0.0001*0.001*Reference!$F$8</f>
        <v>0</v>
      </c>
      <c r="V59" s="201">
        <f>(N59*Reference!$C$6/1000)/2204.62</f>
        <v>0.25627999383113642</v>
      </c>
      <c r="W59" s="109">
        <f>(N59/1000*0.02482)/2204.62*Reference!$F$7</f>
        <v>2.1372521341546391E-4</v>
      </c>
      <c r="X59" s="109">
        <f>(N59/1000*0.01119)/2204.62*Reference!$F$8</f>
        <v>1.422415472961327E-3</v>
      </c>
      <c r="Y59" s="105">
        <f t="shared" si="4"/>
        <v>0</v>
      </c>
      <c r="Z59" s="285">
        <f>(P59*0.0916)*3*0.000001*Reference!$F$7</f>
        <v>0</v>
      </c>
      <c r="AA59" s="285">
        <f>(P59*0.0961)*0.6*0.000001*Reference!$F$8</f>
        <v>0</v>
      </c>
      <c r="AB59" s="111">
        <f t="shared" si="5"/>
        <v>0.25791613451751322</v>
      </c>
      <c r="AD59" s="56"/>
    </row>
    <row r="60" spans="1:30">
      <c r="A60" s="48"/>
      <c r="B60" s="38" t="s">
        <v>14</v>
      </c>
      <c r="C60" s="40" t="s">
        <v>208</v>
      </c>
      <c r="D60" s="40"/>
      <c r="E60" s="55" t="s">
        <v>262</v>
      </c>
      <c r="F60" s="41" t="s">
        <v>181</v>
      </c>
      <c r="G60" s="42" t="s">
        <v>214</v>
      </c>
      <c r="H60" s="43" t="s">
        <v>237</v>
      </c>
      <c r="I60" s="44" t="s">
        <v>6</v>
      </c>
      <c r="J60" s="45" t="s">
        <v>17</v>
      </c>
      <c r="K60" s="45" t="s">
        <v>237</v>
      </c>
      <c r="L60" s="127"/>
      <c r="M60" s="128"/>
      <c r="N60" s="50">
        <v>2006</v>
      </c>
      <c r="O60" s="51">
        <v>505.09</v>
      </c>
      <c r="P60" s="206"/>
      <c r="Q60" s="209"/>
      <c r="R60" s="26"/>
      <c r="S60" s="200">
        <f t="shared" si="3"/>
        <v>0</v>
      </c>
      <c r="T60" s="105">
        <f>L60*0.1*0.005*0.001*Reference!$F$7</f>
        <v>0</v>
      </c>
      <c r="U60" s="105">
        <f>L60*0.1*0.0001*0.001*Reference!$F$8</f>
        <v>0</v>
      </c>
      <c r="V60" s="201">
        <f>(N60*Reference!$C$6/1000)/2204.62</f>
        <v>0.56869211020493327</v>
      </c>
      <c r="W60" s="109">
        <f>(N60/1000*0.02482)/2204.62*Reference!$F$7</f>
        <v>4.7426192268962448E-4</v>
      </c>
      <c r="X60" s="109">
        <f>(N60/1000*0.01119)/2204.62*Reference!$F$8</f>
        <v>3.1563776977438286E-3</v>
      </c>
      <c r="Y60" s="105">
        <f t="shared" si="4"/>
        <v>0</v>
      </c>
      <c r="Z60" s="285">
        <f>(P60*0.0916)*3*0.000001*Reference!$F$7</f>
        <v>0</v>
      </c>
      <c r="AA60" s="285">
        <f>(P60*0.0961)*0.6*0.000001*Reference!$F$8</f>
        <v>0</v>
      </c>
      <c r="AB60" s="111">
        <f t="shared" si="5"/>
        <v>0.57232274982536668</v>
      </c>
    </row>
    <row r="61" spans="1:30">
      <c r="A61" s="48"/>
      <c r="B61" s="38" t="s">
        <v>14</v>
      </c>
      <c r="C61" s="40" t="s">
        <v>209</v>
      </c>
      <c r="D61" s="40"/>
      <c r="E61" s="55" t="s">
        <v>262</v>
      </c>
      <c r="F61" s="41" t="s">
        <v>181</v>
      </c>
      <c r="G61" s="42" t="s">
        <v>215</v>
      </c>
      <c r="H61" s="43" t="s">
        <v>237</v>
      </c>
      <c r="I61" s="44" t="s">
        <v>6</v>
      </c>
      <c r="J61" s="45" t="s">
        <v>17</v>
      </c>
      <c r="K61" s="45" t="s">
        <v>237</v>
      </c>
      <c r="L61" s="127"/>
      <c r="M61" s="128"/>
      <c r="N61" s="50">
        <v>3394</v>
      </c>
      <c r="O61" s="51">
        <v>678.94</v>
      </c>
      <c r="P61" s="206"/>
      <c r="Q61" s="209"/>
      <c r="R61" s="26"/>
      <c r="S61" s="200">
        <f t="shared" si="3"/>
        <v>0</v>
      </c>
      <c r="T61" s="105">
        <f>L61*0.1*0.005*0.001*Reference!$F$7</f>
        <v>0</v>
      </c>
      <c r="U61" s="105">
        <f>L61*0.1*0.0001*0.001*Reference!$F$8</f>
        <v>0</v>
      </c>
      <c r="V61" s="201">
        <f>(N61*Reference!$C$6/1000)/2204.62</f>
        <v>0.96218395914035082</v>
      </c>
      <c r="W61" s="109">
        <f>(N61/1000*0.02482)/2204.62*Reference!$F$7</f>
        <v>8.0241523709301385E-4</v>
      </c>
      <c r="X61" s="109">
        <f>(N61/1000*0.01119)/2204.62*Reference!$F$8</f>
        <v>5.3403518973791407E-3</v>
      </c>
      <c r="Y61" s="105">
        <f t="shared" si="4"/>
        <v>0</v>
      </c>
      <c r="Z61" s="285">
        <f>(P61*0.0916)*3*0.000001*Reference!$F$7</f>
        <v>0</v>
      </c>
      <c r="AA61" s="285">
        <f>(P61*0.0961)*0.6*0.000001*Reference!$F$8</f>
        <v>0</v>
      </c>
      <c r="AB61" s="111">
        <f t="shared" si="5"/>
        <v>0.96832672627482297</v>
      </c>
    </row>
    <row r="62" spans="1:30">
      <c r="A62" s="48"/>
      <c r="B62" s="38" t="s">
        <v>14</v>
      </c>
      <c r="C62" s="40" t="s">
        <v>210</v>
      </c>
      <c r="D62" s="40"/>
      <c r="E62" s="55" t="s">
        <v>262</v>
      </c>
      <c r="F62" s="41" t="s">
        <v>181</v>
      </c>
      <c r="G62" s="42" t="s">
        <v>216</v>
      </c>
      <c r="H62" s="43" t="s">
        <v>237</v>
      </c>
      <c r="I62" s="44" t="s">
        <v>6</v>
      </c>
      <c r="J62" s="45" t="s">
        <v>17</v>
      </c>
      <c r="K62" s="45" t="s">
        <v>237</v>
      </c>
      <c r="L62" s="127"/>
      <c r="M62" s="128"/>
      <c r="N62" s="50">
        <v>1931</v>
      </c>
      <c r="O62" s="51">
        <v>495.92</v>
      </c>
      <c r="P62" s="206"/>
      <c r="Q62" s="209"/>
      <c r="R62" s="26"/>
      <c r="S62" s="200">
        <f t="shared" si="3"/>
        <v>0</v>
      </c>
      <c r="T62" s="105">
        <f>L62*0.1*0.005*0.001*Reference!$F$7</f>
        <v>0</v>
      </c>
      <c r="U62" s="105">
        <f>L62*0.1*0.0001*0.001*Reference!$F$8</f>
        <v>0</v>
      </c>
      <c r="V62" s="201">
        <f>(N62*Reference!$C$6/1000)/2204.62</f>
        <v>0.54742994257513766</v>
      </c>
      <c r="W62" s="109">
        <f>(N62/1000*0.02482)/2204.62*Reference!$F$7</f>
        <v>4.5653029547042121E-4</v>
      </c>
      <c r="X62" s="109">
        <f>(N62/1000*0.01119)/2204.62*Reference!$F$8</f>
        <v>3.0383675644782321E-3</v>
      </c>
      <c r="Y62" s="105">
        <f t="shared" si="4"/>
        <v>0</v>
      </c>
      <c r="Z62" s="285">
        <f>(P62*0.0916)*3*0.000001*Reference!$F$7</f>
        <v>0</v>
      </c>
      <c r="AA62" s="285">
        <f>(P62*0.0961)*0.6*0.000001*Reference!$F$8</f>
        <v>0</v>
      </c>
      <c r="AB62" s="111">
        <f t="shared" si="5"/>
        <v>0.55092484043508638</v>
      </c>
      <c r="AD62" s="56"/>
    </row>
    <row r="63" spans="1:30">
      <c r="A63" s="48"/>
      <c r="B63" s="38" t="s">
        <v>14</v>
      </c>
      <c r="C63" s="40" t="s">
        <v>220</v>
      </c>
      <c r="D63" s="54"/>
      <c r="E63" s="55" t="s">
        <v>262</v>
      </c>
      <c r="F63" s="55" t="s">
        <v>181</v>
      </c>
      <c r="G63" s="55" t="s">
        <v>211</v>
      </c>
      <c r="H63" s="43" t="s">
        <v>237</v>
      </c>
      <c r="I63" s="57" t="s">
        <v>6</v>
      </c>
      <c r="J63" s="57" t="s">
        <v>17</v>
      </c>
      <c r="K63" s="45" t="s">
        <v>237</v>
      </c>
      <c r="L63" s="129"/>
      <c r="M63" s="128"/>
      <c r="N63" s="50">
        <v>952</v>
      </c>
      <c r="O63" s="51">
        <v>373.73</v>
      </c>
      <c r="P63" s="205"/>
      <c r="Q63" s="209"/>
      <c r="R63" s="26"/>
      <c r="S63" s="200">
        <f t="shared" si="3"/>
        <v>0</v>
      </c>
      <c r="T63" s="105">
        <f>L63*0.1*0.005*0.001*Reference!$F$7</f>
        <v>0</v>
      </c>
      <c r="U63" s="105">
        <f>L63*0.1*0.0001*0.001*Reference!$F$8</f>
        <v>0</v>
      </c>
      <c r="V63" s="201">
        <f>(N63*Reference!$C$6/1000)/2204.62</f>
        <v>0.26988778111420564</v>
      </c>
      <c r="W63" s="109">
        <f>(N63/1000*0.02482)/2204.62*Reference!$F$7</f>
        <v>2.2507345483575397E-4</v>
      </c>
      <c r="X63" s="109">
        <f>(N63/1000*0.01119)/2204.62*Reference!$F$8</f>
        <v>1.4979419582513086E-3</v>
      </c>
      <c r="Y63" s="105">
        <f t="shared" si="4"/>
        <v>0</v>
      </c>
      <c r="Z63" s="285">
        <f>(P63*0.0916)*3*0.000001*Reference!$F$7</f>
        <v>0</v>
      </c>
      <c r="AA63" s="285">
        <f>(P63*0.0961)*0.6*0.000001*Reference!$F$8</f>
        <v>0</v>
      </c>
      <c r="AB63" s="111">
        <f t="shared" si="5"/>
        <v>0.2716107965272927</v>
      </c>
    </row>
    <row r="64" spans="1:30">
      <c r="A64" s="48"/>
      <c r="B64" s="38" t="s">
        <v>14</v>
      </c>
      <c r="C64" s="40" t="s">
        <v>221</v>
      </c>
      <c r="D64" s="54"/>
      <c r="E64" s="55" t="s">
        <v>262</v>
      </c>
      <c r="F64" s="55" t="s">
        <v>181</v>
      </c>
      <c r="G64" s="55" t="s">
        <v>222</v>
      </c>
      <c r="H64" s="43" t="s">
        <v>237</v>
      </c>
      <c r="I64" s="57" t="s">
        <v>6</v>
      </c>
      <c r="J64" s="57" t="s">
        <v>17</v>
      </c>
      <c r="K64" s="45" t="s">
        <v>237</v>
      </c>
      <c r="L64" s="129"/>
      <c r="M64" s="128"/>
      <c r="N64" s="50">
        <v>1477</v>
      </c>
      <c r="O64" s="51">
        <v>363.23</v>
      </c>
      <c r="P64" s="205"/>
      <c r="Q64" s="209"/>
      <c r="R64" s="26"/>
      <c r="S64" s="200">
        <f t="shared" si="3"/>
        <v>0</v>
      </c>
      <c r="T64" s="105">
        <f>L64*0.1*0.005*0.001*Reference!$F$7</f>
        <v>0</v>
      </c>
      <c r="U64" s="105">
        <f>L64*0.1*0.0001*0.001*Reference!$F$8</f>
        <v>0</v>
      </c>
      <c r="V64" s="201">
        <f>(N64*Reference!$C$6/1000)/2204.62</f>
        <v>0.41872295452277492</v>
      </c>
      <c r="W64" s="109">
        <f>(N64/1000*0.02482)/2204.62*Reference!$F$7</f>
        <v>3.4919484537017717E-4</v>
      </c>
      <c r="X64" s="109">
        <f>(N64/1000*0.01119)/2204.62*Reference!$F$8</f>
        <v>2.3240128911104865E-3</v>
      </c>
      <c r="Y64" s="105">
        <f t="shared" si="4"/>
        <v>0</v>
      </c>
      <c r="Z64" s="285">
        <f>(P64*0.0916)*3*0.000001*Reference!$F$7</f>
        <v>0</v>
      </c>
      <c r="AA64" s="285">
        <f>(P64*0.0961)*0.6*0.000001*Reference!$F$8</f>
        <v>0</v>
      </c>
      <c r="AB64" s="111">
        <f t="shared" si="5"/>
        <v>0.42139616225925558</v>
      </c>
    </row>
    <row r="65" spans="1:30">
      <c r="A65" s="48"/>
      <c r="B65" s="38" t="s">
        <v>14</v>
      </c>
      <c r="C65" s="40" t="s">
        <v>223</v>
      </c>
      <c r="D65" s="54"/>
      <c r="E65" s="55" t="s">
        <v>262</v>
      </c>
      <c r="F65" s="55" t="s">
        <v>181</v>
      </c>
      <c r="G65" s="55" t="s">
        <v>224</v>
      </c>
      <c r="H65" s="43" t="s">
        <v>237</v>
      </c>
      <c r="I65" s="57" t="s">
        <v>6</v>
      </c>
      <c r="J65" s="57" t="s">
        <v>17</v>
      </c>
      <c r="K65" s="45" t="s">
        <v>237</v>
      </c>
      <c r="L65" s="129"/>
      <c r="M65" s="128"/>
      <c r="N65" s="50">
        <v>1280</v>
      </c>
      <c r="O65" s="51">
        <v>377.78</v>
      </c>
      <c r="P65" s="205"/>
      <c r="Q65" s="209"/>
      <c r="R65" s="26"/>
      <c r="S65" s="200">
        <f t="shared" si="3"/>
        <v>0</v>
      </c>
      <c r="T65" s="105">
        <f>L65*0.1*0.005*0.001*Reference!$F$7</f>
        <v>0</v>
      </c>
      <c r="U65" s="105">
        <f>L65*0.1*0.0001*0.001*Reference!$F$8</f>
        <v>0</v>
      </c>
      <c r="V65" s="201">
        <f>(N65*Reference!$C$6/1000)/2204.62</f>
        <v>0.36287432754851179</v>
      </c>
      <c r="W65" s="109">
        <f>(N65/1000*0.02482)/2204.62*Reference!$F$7</f>
        <v>3.0261977120773646E-4</v>
      </c>
      <c r="X65" s="109">
        <f>(N65/1000*0.01119)/2204.62*Reference!$F$8</f>
        <v>2.0140396077328523E-3</v>
      </c>
      <c r="Y65" s="105">
        <f t="shared" si="4"/>
        <v>0</v>
      </c>
      <c r="Z65" s="285">
        <f>(P65*0.0916)*3*0.000001*Reference!$F$7</f>
        <v>0</v>
      </c>
      <c r="AA65" s="285">
        <f>(P65*0.0961)*0.6*0.000001*Reference!$F$8</f>
        <v>0</v>
      </c>
      <c r="AB65" s="111">
        <f t="shared" si="5"/>
        <v>0.36519098692745233</v>
      </c>
    </row>
    <row r="66" spans="1:30">
      <c r="A66" s="48"/>
      <c r="B66" s="38" t="s">
        <v>14</v>
      </c>
      <c r="C66" s="40" t="s">
        <v>227</v>
      </c>
      <c r="D66" s="40"/>
      <c r="E66" s="55" t="s">
        <v>262</v>
      </c>
      <c r="F66" s="41" t="s">
        <v>181</v>
      </c>
      <c r="G66" s="42" t="s">
        <v>225</v>
      </c>
      <c r="H66" s="43" t="s">
        <v>237</v>
      </c>
      <c r="I66" s="44" t="s">
        <v>6</v>
      </c>
      <c r="J66" s="45" t="s">
        <v>17</v>
      </c>
      <c r="K66" s="45" t="s">
        <v>237</v>
      </c>
      <c r="L66" s="127"/>
      <c r="M66" s="128"/>
      <c r="N66" s="50">
        <v>1293</v>
      </c>
      <c r="O66" s="51">
        <v>378.77</v>
      </c>
      <c r="P66" s="206"/>
      <c r="Q66" s="209"/>
      <c r="R66" s="26"/>
      <c r="S66" s="200">
        <f t="shared" si="3"/>
        <v>0</v>
      </c>
      <c r="T66" s="105">
        <f>L66*0.1*0.005*0.001*Reference!$F$7</f>
        <v>0</v>
      </c>
      <c r="U66" s="105">
        <f>L66*0.1*0.0001*0.001*Reference!$F$8</f>
        <v>0</v>
      </c>
      <c r="V66" s="201">
        <f>(N66*Reference!$C$6/1000)/2204.62</f>
        <v>0.36655976993767636</v>
      </c>
      <c r="W66" s="109">
        <f>(N66/1000*0.02482)/2204.62*Reference!$F$7</f>
        <v>3.0569325325906503E-4</v>
      </c>
      <c r="X66" s="109">
        <f>(N66/1000*0.01119)/2204.62*Reference!$F$8</f>
        <v>2.0344946974988889E-3</v>
      </c>
      <c r="Y66" s="105">
        <f t="shared" si="4"/>
        <v>0</v>
      </c>
      <c r="Z66" s="285">
        <f>(P66*0.0916)*3*0.000001*Reference!$F$7</f>
        <v>0</v>
      </c>
      <c r="AA66" s="285">
        <f>(P66*0.0961)*0.6*0.000001*Reference!$F$8</f>
        <v>0</v>
      </c>
      <c r="AB66" s="111">
        <f t="shared" si="5"/>
        <v>0.36889995788843433</v>
      </c>
      <c r="AD66" s="56"/>
    </row>
    <row r="67" spans="1:30">
      <c r="A67" s="48"/>
      <c r="B67" s="38" t="s">
        <v>14</v>
      </c>
      <c r="C67" s="40" t="s">
        <v>228</v>
      </c>
      <c r="D67" s="40"/>
      <c r="E67" s="55" t="s">
        <v>262</v>
      </c>
      <c r="F67" s="41" t="s">
        <v>181</v>
      </c>
      <c r="G67" s="42" t="s">
        <v>226</v>
      </c>
      <c r="H67" s="43" t="s">
        <v>237</v>
      </c>
      <c r="I67" s="44" t="s">
        <v>6</v>
      </c>
      <c r="J67" s="45" t="s">
        <v>17</v>
      </c>
      <c r="K67" s="45" t="s">
        <v>237</v>
      </c>
      <c r="L67" s="127"/>
      <c r="M67" s="128"/>
      <c r="N67" s="50">
        <v>7442</v>
      </c>
      <c r="O67" s="51">
        <v>843.36</v>
      </c>
      <c r="P67" s="206"/>
      <c r="Q67" s="209"/>
      <c r="R67" s="26"/>
      <c r="S67" s="200">
        <f t="shared" si="3"/>
        <v>0</v>
      </c>
      <c r="T67" s="105">
        <f>L67*0.1*0.005*0.001*Reference!$F$7</f>
        <v>0</v>
      </c>
      <c r="U67" s="105">
        <f>L67*0.1*0.0001*0.001*Reference!$F$8</f>
        <v>0</v>
      </c>
      <c r="V67" s="201">
        <f>(N67*Reference!$C$6/1000)/2204.62</f>
        <v>2.1097740200125195</v>
      </c>
      <c r="W67" s="109">
        <f>(N67/1000*0.02482)/2204.62*Reference!$F$7</f>
        <v>1.7594502635374805E-3</v>
      </c>
      <c r="X67" s="109">
        <f>(N67/1000*0.01119)/2204.62*Reference!$F$8</f>
        <v>1.1709752156834285E-2</v>
      </c>
      <c r="Y67" s="105">
        <f t="shared" si="4"/>
        <v>0</v>
      </c>
      <c r="Z67" s="285">
        <f>(P67*0.0916)*3*0.000001*Reference!$F$7</f>
        <v>0</v>
      </c>
      <c r="AA67" s="285">
        <f>(P67*0.0961)*0.6*0.000001*Reference!$F$8</f>
        <v>0</v>
      </c>
      <c r="AB67" s="111">
        <f t="shared" si="5"/>
        <v>2.1232432224328912</v>
      </c>
    </row>
    <row r="68" spans="1:30">
      <c r="A68" s="48"/>
      <c r="B68" s="38" t="s">
        <v>14</v>
      </c>
      <c r="C68" s="40" t="s">
        <v>231</v>
      </c>
      <c r="D68" s="54"/>
      <c r="E68" s="55" t="s">
        <v>262</v>
      </c>
      <c r="F68" s="55" t="s">
        <v>181</v>
      </c>
      <c r="G68" s="55" t="s">
        <v>229</v>
      </c>
      <c r="H68" s="43" t="s">
        <v>237</v>
      </c>
      <c r="I68" s="57" t="s">
        <v>6</v>
      </c>
      <c r="J68" s="57" t="s">
        <v>17</v>
      </c>
      <c r="K68" s="45" t="s">
        <v>237</v>
      </c>
      <c r="L68" s="129"/>
      <c r="M68" s="128"/>
      <c r="N68" s="50">
        <v>1280</v>
      </c>
      <c r="O68" s="51">
        <v>377.79</v>
      </c>
      <c r="P68" s="205"/>
      <c r="Q68" s="209"/>
      <c r="R68" s="26"/>
      <c r="S68" s="200">
        <f t="shared" si="3"/>
        <v>0</v>
      </c>
      <c r="T68" s="105">
        <f>L68*0.1*0.005*0.001*Reference!$F$7</f>
        <v>0</v>
      </c>
      <c r="U68" s="105">
        <f>L68*0.1*0.0001*0.001*Reference!$F$8</f>
        <v>0</v>
      </c>
      <c r="V68" s="201">
        <f>(N68*Reference!$C$6/1000)/2204.62</f>
        <v>0.36287432754851179</v>
      </c>
      <c r="W68" s="109">
        <f>(N68/1000*0.02482)/2204.62*Reference!$F$7</f>
        <v>3.0261977120773646E-4</v>
      </c>
      <c r="X68" s="109">
        <f>(N68/1000*0.01119)/2204.62*Reference!$F$8</f>
        <v>2.0140396077328523E-3</v>
      </c>
      <c r="Y68" s="105">
        <f t="shared" si="4"/>
        <v>0</v>
      </c>
      <c r="Z68" s="285">
        <f>(P68*0.0916)*3*0.000001*Reference!$F$7</f>
        <v>0</v>
      </c>
      <c r="AA68" s="285">
        <f>(P68*0.0961)*0.6*0.000001*Reference!$F$8</f>
        <v>0</v>
      </c>
      <c r="AB68" s="111">
        <f t="shared" si="5"/>
        <v>0.36519098692745233</v>
      </c>
    </row>
    <row r="69" spans="1:30">
      <c r="A69" s="48"/>
      <c r="B69" s="38" t="s">
        <v>14</v>
      </c>
      <c r="C69" s="40" t="s">
        <v>232</v>
      </c>
      <c r="D69" s="40"/>
      <c r="E69" s="55" t="s">
        <v>262</v>
      </c>
      <c r="F69" s="41" t="s">
        <v>181</v>
      </c>
      <c r="G69" s="42" t="s">
        <v>230</v>
      </c>
      <c r="H69" s="43" t="s">
        <v>237</v>
      </c>
      <c r="I69" s="44" t="s">
        <v>6</v>
      </c>
      <c r="J69" s="45" t="s">
        <v>17</v>
      </c>
      <c r="K69" s="45" t="s">
        <v>237</v>
      </c>
      <c r="L69" s="127"/>
      <c r="M69" s="128"/>
      <c r="N69" s="50">
        <v>1280</v>
      </c>
      <c r="O69" s="51">
        <v>377.79</v>
      </c>
      <c r="P69" s="206"/>
      <c r="Q69" s="209"/>
      <c r="R69" s="26"/>
      <c r="S69" s="200">
        <f t="shared" si="3"/>
        <v>0</v>
      </c>
      <c r="T69" s="105">
        <f>L69*0.1*0.005*0.001*Reference!$F$7</f>
        <v>0</v>
      </c>
      <c r="U69" s="105">
        <f>L69*0.1*0.0001*0.001*Reference!$F$8</f>
        <v>0</v>
      </c>
      <c r="V69" s="201">
        <f>(N69*Reference!$C$6/1000)/2204.62</f>
        <v>0.36287432754851179</v>
      </c>
      <c r="W69" s="109">
        <f>(N69/1000*0.02482)/2204.62*Reference!$F$7</f>
        <v>3.0261977120773646E-4</v>
      </c>
      <c r="X69" s="109">
        <f>(N69/1000*0.01119)/2204.62*Reference!$F$8</f>
        <v>2.0140396077328523E-3</v>
      </c>
      <c r="Y69" s="105">
        <f t="shared" si="4"/>
        <v>0</v>
      </c>
      <c r="Z69" s="285">
        <f>(P69*0.0916)*3*0.000001*Reference!$F$7</f>
        <v>0</v>
      </c>
      <c r="AA69" s="285">
        <f>(P69*0.0961)*0.6*0.000001*Reference!$F$8</f>
        <v>0</v>
      </c>
      <c r="AB69" s="111">
        <f t="shared" si="5"/>
        <v>0.36519098692745233</v>
      </c>
    </row>
    <row r="70" spans="1:30">
      <c r="A70" s="48"/>
      <c r="B70" s="38" t="s">
        <v>14</v>
      </c>
      <c r="C70" s="39" t="s">
        <v>117</v>
      </c>
      <c r="D70" s="52"/>
      <c r="E70" s="41" t="s">
        <v>115</v>
      </c>
      <c r="F70" s="41" t="s">
        <v>115</v>
      </c>
      <c r="G70" s="42" t="s">
        <v>116</v>
      </c>
      <c r="H70" s="43" t="s">
        <v>254</v>
      </c>
      <c r="I70" s="49" t="s">
        <v>248</v>
      </c>
      <c r="J70" s="49" t="s">
        <v>12</v>
      </c>
      <c r="K70" s="45" t="s">
        <v>241</v>
      </c>
      <c r="L70" s="130"/>
      <c r="M70" s="131"/>
      <c r="N70" s="46">
        <v>2242</v>
      </c>
      <c r="O70" s="47">
        <v>534.9</v>
      </c>
      <c r="P70" s="206"/>
      <c r="Q70" s="209"/>
      <c r="R70" s="26"/>
      <c r="S70" s="200">
        <f t="shared" si="3"/>
        <v>0</v>
      </c>
      <c r="T70" s="105">
        <f>L70*0.1*0.005*0.001*Reference!$F$7</f>
        <v>0</v>
      </c>
      <c r="U70" s="105">
        <f>L70*0.1*0.0001*0.001*Reference!$F$8</f>
        <v>0</v>
      </c>
      <c r="V70" s="201">
        <f>(N70*Reference!$C$6/1000)/2204.62</f>
        <v>0.63559706434669017</v>
      </c>
      <c r="W70" s="109">
        <f>(N70/1000*0.02482)/2204.62*Reference!$F$7</f>
        <v>5.3005744300605091E-4</v>
      </c>
      <c r="X70" s="109">
        <f>(N70/1000*0.01119)/2204.62*Reference!$F$8</f>
        <v>3.5277162504195733E-3</v>
      </c>
      <c r="Y70" s="105">
        <f t="shared" si="4"/>
        <v>0</v>
      </c>
      <c r="Z70" s="285">
        <f>(P70*0.0916)*3*0.000001*Reference!$F$7</f>
        <v>0</v>
      </c>
      <c r="AA70" s="285">
        <f>(P70*0.0961)*0.6*0.000001*Reference!$F$8</f>
        <v>0</v>
      </c>
      <c r="AB70" s="111">
        <f t="shared" si="5"/>
        <v>0.6396548380401158</v>
      </c>
      <c r="AD70" s="56"/>
    </row>
    <row r="71" spans="1:30">
      <c r="A71" s="48"/>
      <c r="B71" s="38" t="s">
        <v>14</v>
      </c>
      <c r="C71" s="40" t="s">
        <v>123</v>
      </c>
      <c r="D71" s="40"/>
      <c r="E71" s="41" t="s">
        <v>115</v>
      </c>
      <c r="F71" s="41" t="s">
        <v>115</v>
      </c>
      <c r="G71" s="42" t="s">
        <v>122</v>
      </c>
      <c r="H71" s="43" t="s">
        <v>254</v>
      </c>
      <c r="I71" s="49" t="s">
        <v>248</v>
      </c>
      <c r="J71" s="49" t="s">
        <v>12</v>
      </c>
      <c r="K71" s="45" t="s">
        <v>241</v>
      </c>
      <c r="L71" s="127"/>
      <c r="M71" s="128"/>
      <c r="N71" s="50">
        <v>3840</v>
      </c>
      <c r="O71" s="51">
        <v>734.52</v>
      </c>
      <c r="P71" s="205">
        <v>3.5</v>
      </c>
      <c r="Q71" s="209">
        <v>6.06</v>
      </c>
      <c r="R71" s="26"/>
      <c r="S71" s="200">
        <f t="shared" si="3"/>
        <v>0</v>
      </c>
      <c r="T71" s="105">
        <f>L71*0.1*0.005*0.001*Reference!$F$7</f>
        <v>0</v>
      </c>
      <c r="U71" s="105">
        <f>L71*0.1*0.0001*0.001*Reference!$F$8</f>
        <v>0</v>
      </c>
      <c r="V71" s="201">
        <f>(N71*Reference!$C$6/1000)/2204.62</f>
        <v>1.0886229826455354</v>
      </c>
      <c r="W71" s="109">
        <f>(N71/1000*0.02482)/2204.62*Reference!$F$7</f>
        <v>9.0785931362320944E-4</v>
      </c>
      <c r="X71" s="109">
        <f>(N71/1000*0.01119)/2204.62*Reference!$F$8</f>
        <v>6.0421188231985553E-3</v>
      </c>
      <c r="Y71" s="105">
        <f t="shared" si="4"/>
        <v>1.9704076000000001E-2</v>
      </c>
      <c r="Z71" s="285">
        <f>(P71*0.0916)*3*0.000001*Reference!$F$7</f>
        <v>2.0197800000000002E-5</v>
      </c>
      <c r="AA71" s="285">
        <f>(P71*0.0961)*0.6*0.000001*Reference!$F$8</f>
        <v>6.2561100000000007E-5</v>
      </c>
      <c r="AB71" s="111">
        <f t="shared" si="5"/>
        <v>1.1153597956823571</v>
      </c>
    </row>
    <row r="72" spans="1:30">
      <c r="A72" s="48"/>
      <c r="B72" s="38" t="s">
        <v>14</v>
      </c>
      <c r="C72" s="40" t="s">
        <v>143</v>
      </c>
      <c r="D72" s="40"/>
      <c r="E72" s="41" t="s">
        <v>115</v>
      </c>
      <c r="F72" s="41" t="s">
        <v>115</v>
      </c>
      <c r="G72" s="42" t="s">
        <v>142</v>
      </c>
      <c r="H72" s="43" t="s">
        <v>254</v>
      </c>
      <c r="I72" s="49" t="s">
        <v>248</v>
      </c>
      <c r="J72" s="49" t="s">
        <v>12</v>
      </c>
      <c r="K72" s="45" t="s">
        <v>241</v>
      </c>
      <c r="L72" s="127"/>
      <c r="M72" s="128"/>
      <c r="N72" s="50">
        <v>8648</v>
      </c>
      <c r="O72" s="51">
        <v>1642.18</v>
      </c>
      <c r="P72" s="206"/>
      <c r="Q72" s="209"/>
      <c r="R72" s="26"/>
      <c r="S72" s="200">
        <f t="shared" si="3"/>
        <v>0</v>
      </c>
      <c r="T72" s="105">
        <f>L72*0.1*0.005*0.001*Reference!$F$7</f>
        <v>0</v>
      </c>
      <c r="U72" s="105">
        <f>L72*0.1*0.0001*0.001*Reference!$F$8</f>
        <v>0</v>
      </c>
      <c r="V72" s="201">
        <f>(N72*Reference!$C$6/1000)/2204.62</f>
        <v>2.4516696754996326</v>
      </c>
      <c r="W72" s="109">
        <f>(N72/1000*0.02482)/2204.62*Reference!$F$7</f>
        <v>2.0445748292222694E-3</v>
      </c>
      <c r="X72" s="109">
        <f>(N72/1000*0.01119)/2204.62*Reference!$F$8</f>
        <v>1.3607355099745082E-2</v>
      </c>
      <c r="Y72" s="105">
        <f t="shared" si="4"/>
        <v>0</v>
      </c>
      <c r="Z72" s="285">
        <f>(P72*0.0916)*3*0.000001*Reference!$F$7</f>
        <v>0</v>
      </c>
      <c r="AA72" s="285">
        <f>(P72*0.0961)*0.6*0.000001*Reference!$F$8</f>
        <v>0</v>
      </c>
      <c r="AB72" s="111">
        <f t="shared" si="5"/>
        <v>2.4673216054285998</v>
      </c>
      <c r="AD72" s="56"/>
    </row>
    <row r="73" spans="1:30">
      <c r="A73" s="48"/>
      <c r="B73" s="38" t="s">
        <v>14</v>
      </c>
      <c r="C73" s="40" t="s">
        <v>147</v>
      </c>
      <c r="D73" s="54"/>
      <c r="E73" s="55" t="s">
        <v>115</v>
      </c>
      <c r="F73" s="55" t="s">
        <v>115</v>
      </c>
      <c r="G73" s="55" t="s">
        <v>146</v>
      </c>
      <c r="H73" s="43" t="s">
        <v>254</v>
      </c>
      <c r="I73" s="49" t="s">
        <v>248</v>
      </c>
      <c r="J73" s="57" t="s">
        <v>12</v>
      </c>
      <c r="K73" s="45" t="s">
        <v>241</v>
      </c>
      <c r="L73" s="129"/>
      <c r="M73" s="128"/>
      <c r="N73" s="50">
        <v>10928</v>
      </c>
      <c r="O73" s="51">
        <v>1625.58</v>
      </c>
      <c r="P73" s="205">
        <v>3.5</v>
      </c>
      <c r="Q73" s="209">
        <v>6.06</v>
      </c>
      <c r="R73" s="26"/>
      <c r="S73" s="200">
        <f t="shared" si="3"/>
        <v>0</v>
      </c>
      <c r="T73" s="105">
        <f>L73*0.1*0.005*0.001*Reference!$F$7</f>
        <v>0</v>
      </c>
      <c r="U73" s="105">
        <f>L73*0.1*0.0001*0.001*Reference!$F$8</f>
        <v>0</v>
      </c>
      <c r="V73" s="201">
        <f>(N73*Reference!$C$6/1000)/2204.62</f>
        <v>3.0980395714454194</v>
      </c>
      <c r="W73" s="109">
        <f>(N73/1000*0.02482)/2204.62*Reference!$F$7</f>
        <v>2.5836162966860507E-3</v>
      </c>
      <c r="X73" s="109">
        <f>(N73/1000*0.01119)/2204.62*Reference!$F$8</f>
        <v>1.7194863151019226E-2</v>
      </c>
      <c r="Y73" s="105">
        <f t="shared" si="4"/>
        <v>1.9704076000000001E-2</v>
      </c>
      <c r="Z73" s="285">
        <f>(P73*0.0916)*3*0.000001*Reference!$F$7</f>
        <v>2.0197800000000002E-5</v>
      </c>
      <c r="AA73" s="285">
        <f>(P73*0.0961)*0.6*0.000001*Reference!$F$8</f>
        <v>6.2561100000000007E-5</v>
      </c>
      <c r="AB73" s="111">
        <f t="shared" si="5"/>
        <v>3.1376048857931247</v>
      </c>
    </row>
    <row r="74" spans="1:30">
      <c r="A74" s="48"/>
      <c r="B74" s="38" t="s">
        <v>14</v>
      </c>
      <c r="C74" s="40" t="s">
        <v>148</v>
      </c>
      <c r="D74" s="40"/>
      <c r="E74" s="41" t="s">
        <v>115</v>
      </c>
      <c r="F74" s="41" t="s">
        <v>115</v>
      </c>
      <c r="G74" s="42" t="s">
        <v>149</v>
      </c>
      <c r="H74" s="43" t="s">
        <v>254</v>
      </c>
      <c r="I74" s="49" t="s">
        <v>248</v>
      </c>
      <c r="J74" s="45" t="s">
        <v>12</v>
      </c>
      <c r="K74" s="45" t="s">
        <v>241</v>
      </c>
      <c r="L74" s="127"/>
      <c r="M74" s="128"/>
      <c r="N74" s="50">
        <v>30811</v>
      </c>
      <c r="O74" s="51">
        <v>5869.11</v>
      </c>
      <c r="P74" s="205">
        <v>3.5</v>
      </c>
      <c r="Q74" s="209">
        <v>6.06</v>
      </c>
      <c r="R74" s="26"/>
      <c r="S74" s="200">
        <f t="shared" ref="S74:S87" si="6">L74*0.1*53.02*0.001</f>
        <v>0</v>
      </c>
      <c r="T74" s="105">
        <f>L74*0.1*0.005*0.001*Reference!$F$7</f>
        <v>0</v>
      </c>
      <c r="U74" s="105">
        <f>L74*0.1*0.0001*0.001*Reference!$F$8</f>
        <v>0</v>
      </c>
      <c r="V74" s="201">
        <f>(N74*Reference!$C$6/1000)/2204.62</f>
        <v>8.7347819578884351</v>
      </c>
      <c r="W74" s="109">
        <f>(N74/1000*0.02482)/2204.62*Reference!$F$7</f>
        <v>7.2843888833449763E-3</v>
      </c>
      <c r="X74" s="109">
        <f>(N74/1000*0.01119)/2204.62*Reference!$F$8</f>
        <v>4.8480136213950704E-2</v>
      </c>
      <c r="Y74" s="105">
        <f t="shared" ref="Y74:Y87" si="7">(P74*0.0916)*61.46*0.001</f>
        <v>1.9704076000000001E-2</v>
      </c>
      <c r="Z74" s="285">
        <f>(P74*0.0916)*3*0.000001*Reference!$F$7</f>
        <v>2.0197800000000002E-5</v>
      </c>
      <c r="AA74" s="285">
        <f>(P74*0.0961)*0.6*0.000001*Reference!$F$8</f>
        <v>6.2561100000000007E-5</v>
      </c>
      <c r="AB74" s="111">
        <f t="shared" ref="AB74:AB87" si="8">SUM(S74:AA74)</f>
        <v>8.8103333178857302</v>
      </c>
    </row>
    <row r="75" spans="1:30">
      <c r="A75" s="48"/>
      <c r="B75" s="38" t="s">
        <v>14</v>
      </c>
      <c r="C75" s="40" t="s">
        <v>153</v>
      </c>
      <c r="D75" s="40"/>
      <c r="E75" s="41" t="s">
        <v>115</v>
      </c>
      <c r="F75" s="41" t="s">
        <v>115</v>
      </c>
      <c r="G75" s="42" t="s">
        <v>154</v>
      </c>
      <c r="H75" s="43" t="s">
        <v>254</v>
      </c>
      <c r="I75" s="49" t="s">
        <v>248</v>
      </c>
      <c r="J75" s="45" t="s">
        <v>12</v>
      </c>
      <c r="K75" s="45" t="s">
        <v>241</v>
      </c>
      <c r="L75" s="127"/>
      <c r="M75" s="128"/>
      <c r="N75" s="50">
        <v>1598</v>
      </c>
      <c r="O75" s="51">
        <v>451.58</v>
      </c>
      <c r="P75" s="206"/>
      <c r="Q75" s="209"/>
      <c r="R75" s="26"/>
      <c r="S75" s="200">
        <f t="shared" si="6"/>
        <v>0</v>
      </c>
      <c r="T75" s="105">
        <f>L75*0.1*0.005*0.001*Reference!$F$7</f>
        <v>0</v>
      </c>
      <c r="U75" s="105">
        <f>L75*0.1*0.0001*0.001*Reference!$F$8</f>
        <v>0</v>
      </c>
      <c r="V75" s="201">
        <f>(N75*Reference!$C$6/1000)/2204.62</f>
        <v>0.4530259182988452</v>
      </c>
      <c r="W75" s="109">
        <f>(N75/1000*0.02482)/2204.62*Reference!$F$7</f>
        <v>3.7780187061715854E-4</v>
      </c>
      <c r="X75" s="109">
        <f>(N75/1000*0.01119)/2204.62*Reference!$F$8</f>
        <v>2.5144025727789824E-3</v>
      </c>
      <c r="Y75" s="105">
        <f t="shared" si="7"/>
        <v>0</v>
      </c>
      <c r="Z75" s="285">
        <f>(P75*0.0916)*3*0.000001*Reference!$F$7</f>
        <v>0</v>
      </c>
      <c r="AA75" s="285">
        <f>(P75*0.0961)*0.6*0.000001*Reference!$F$8</f>
        <v>0</v>
      </c>
      <c r="AB75" s="111">
        <f t="shared" si="8"/>
        <v>0.45591812274224131</v>
      </c>
    </row>
    <row r="76" spans="1:30">
      <c r="A76" s="48"/>
      <c r="B76" s="38" t="s">
        <v>14</v>
      </c>
      <c r="C76" s="40" t="s">
        <v>156</v>
      </c>
      <c r="D76" s="40"/>
      <c r="E76" s="41" t="s">
        <v>115</v>
      </c>
      <c r="F76" s="41" t="s">
        <v>115</v>
      </c>
      <c r="G76" s="42" t="s">
        <v>157</v>
      </c>
      <c r="H76" s="43" t="s">
        <v>254</v>
      </c>
      <c r="I76" s="49" t="s">
        <v>248</v>
      </c>
      <c r="J76" s="45" t="s">
        <v>12</v>
      </c>
      <c r="K76" s="45" t="s">
        <v>241</v>
      </c>
      <c r="L76" s="127"/>
      <c r="M76" s="128"/>
      <c r="N76" s="50">
        <v>1399</v>
      </c>
      <c r="O76" s="51">
        <v>429.52</v>
      </c>
      <c r="P76" s="206"/>
      <c r="Q76" s="209"/>
      <c r="R76" s="26"/>
      <c r="S76" s="200">
        <f t="shared" si="6"/>
        <v>0</v>
      </c>
      <c r="T76" s="105">
        <f>L76*0.1*0.005*0.001*Reference!$F$7</f>
        <v>0</v>
      </c>
      <c r="U76" s="105">
        <f>L76*0.1*0.0001*0.001*Reference!$F$8</f>
        <v>0</v>
      </c>
      <c r="V76" s="201">
        <f>(N76*Reference!$C$6/1000)/2204.62</f>
        <v>0.39661030018778748</v>
      </c>
      <c r="W76" s="109">
        <f>(N76/1000*0.02482)/2204.62*Reference!$F$7</f>
        <v>3.3075395306220574E-4</v>
      </c>
      <c r="X76" s="109">
        <f>(N76/1000*0.01119)/2204.62*Reference!$F$8</f>
        <v>2.2012823525142658E-3</v>
      </c>
      <c r="Y76" s="105">
        <f t="shared" si="7"/>
        <v>0</v>
      </c>
      <c r="Z76" s="285">
        <f>(P76*0.0916)*3*0.000001*Reference!$F$7</f>
        <v>0</v>
      </c>
      <c r="AA76" s="285">
        <f>(P76*0.0961)*0.6*0.000001*Reference!$F$8</f>
        <v>0</v>
      </c>
      <c r="AB76" s="111">
        <f t="shared" si="8"/>
        <v>0.39914233649336395</v>
      </c>
      <c r="AD76" s="56"/>
    </row>
    <row r="77" spans="1:30">
      <c r="A77" s="48"/>
      <c r="B77" s="38" t="s">
        <v>14</v>
      </c>
      <c r="C77" s="40" t="s">
        <v>158</v>
      </c>
      <c r="D77" s="54"/>
      <c r="E77" s="41" t="s">
        <v>115</v>
      </c>
      <c r="F77" s="55" t="s">
        <v>159</v>
      </c>
      <c r="G77" s="55"/>
      <c r="H77" s="43" t="s">
        <v>254</v>
      </c>
      <c r="I77" s="49" t="s">
        <v>248</v>
      </c>
      <c r="J77" s="57" t="s">
        <v>12</v>
      </c>
      <c r="K77" s="45" t="s">
        <v>241</v>
      </c>
      <c r="L77" s="129"/>
      <c r="M77" s="128"/>
      <c r="N77" s="50">
        <v>645082</v>
      </c>
      <c r="O77" s="257">
        <v>51034.33</v>
      </c>
      <c r="P77" s="205"/>
      <c r="Q77" s="209"/>
      <c r="R77" s="26"/>
      <c r="S77" s="200">
        <f t="shared" si="6"/>
        <v>0</v>
      </c>
      <c r="T77" s="105">
        <f>L77*0.1*0.005*0.001*Reference!$F$7</f>
        <v>0</v>
      </c>
      <c r="U77" s="105">
        <f>L77*0.1*0.0001*0.001*Reference!$F$8</f>
        <v>0</v>
      </c>
      <c r="V77" s="201">
        <f>(N77*Reference!$C$6/1000)/2204.62</f>
        <v>182.87788825285085</v>
      </c>
      <c r="W77" s="109">
        <f>(N77/1000*0.02482)/2204.62*Reference!$F$7</f>
        <v>0.15251138066424147</v>
      </c>
      <c r="X77" s="109">
        <f>(N77/1000*0.01119)/2204.62*Reference!$F$8</f>
        <v>1.0150161704965028</v>
      </c>
      <c r="Y77" s="105">
        <f t="shared" si="7"/>
        <v>0</v>
      </c>
      <c r="Z77" s="285">
        <f>(P77*0.0916)*3*0.000001*Reference!$F$7</f>
        <v>0</v>
      </c>
      <c r="AA77" s="285">
        <f>(P77*0.0961)*0.6*0.000001*Reference!$F$8</f>
        <v>0</v>
      </c>
      <c r="AB77" s="111">
        <f t="shared" si="8"/>
        <v>184.04541580401158</v>
      </c>
    </row>
    <row r="78" spans="1:30">
      <c r="A78" s="48"/>
      <c r="B78" s="38" t="s">
        <v>14</v>
      </c>
      <c r="C78" s="40" t="s">
        <v>160</v>
      </c>
      <c r="D78" s="40"/>
      <c r="E78" s="41" t="s">
        <v>115</v>
      </c>
      <c r="F78" s="41" t="s">
        <v>161</v>
      </c>
      <c r="G78" s="42"/>
      <c r="H78" s="43" t="s">
        <v>254</v>
      </c>
      <c r="I78" s="49" t="s">
        <v>248</v>
      </c>
      <c r="J78" s="45" t="s">
        <v>12</v>
      </c>
      <c r="K78" s="45" t="s">
        <v>241</v>
      </c>
      <c r="L78" s="127"/>
      <c r="M78" s="128"/>
      <c r="N78" s="50">
        <v>67562</v>
      </c>
      <c r="O78" s="51">
        <v>8306.0300000000007</v>
      </c>
      <c r="P78" s="205">
        <v>3.5</v>
      </c>
      <c r="Q78" s="209">
        <v>6.06</v>
      </c>
      <c r="R78" s="26"/>
      <c r="S78" s="200">
        <f t="shared" si="6"/>
        <v>0</v>
      </c>
      <c r="T78" s="105">
        <f>L78*0.1*0.005*0.001*Reference!$F$7</f>
        <v>0</v>
      </c>
      <c r="U78" s="105">
        <f>L78*0.1*0.0001*0.001*Reference!$F$8</f>
        <v>0</v>
      </c>
      <c r="V78" s="201">
        <f>(N78*Reference!$C$6/1000)/2204.62</f>
        <v>19.153527592056683</v>
      </c>
      <c r="W78" s="109">
        <f>(N78/1000*0.02482)/2204.62*Reference!$F$7</f>
        <v>1.5973122642450852E-2</v>
      </c>
      <c r="X78" s="109">
        <f>(N78/1000*0.01119)/2204.62*Reference!$F$8</f>
        <v>0.10630667498253668</v>
      </c>
      <c r="Y78" s="105">
        <f t="shared" si="7"/>
        <v>1.9704076000000001E-2</v>
      </c>
      <c r="Z78" s="285">
        <f>(P78*0.0916)*3*0.000001*Reference!$F$7</f>
        <v>2.0197800000000002E-5</v>
      </c>
      <c r="AA78" s="285">
        <f>(P78*0.0961)*0.6*0.000001*Reference!$F$8</f>
        <v>6.2561100000000007E-5</v>
      </c>
      <c r="AB78" s="111">
        <f t="shared" si="8"/>
        <v>19.29559422458167</v>
      </c>
    </row>
    <row r="79" spans="1:30">
      <c r="A79" s="48"/>
      <c r="B79" s="38" t="s">
        <v>14</v>
      </c>
      <c r="C79" s="40" t="s">
        <v>162</v>
      </c>
      <c r="D79" s="40"/>
      <c r="E79" s="41" t="s">
        <v>115</v>
      </c>
      <c r="F79" s="41" t="s">
        <v>163</v>
      </c>
      <c r="G79" s="42"/>
      <c r="H79" s="43" t="s">
        <v>254</v>
      </c>
      <c r="I79" s="49" t="s">
        <v>248</v>
      </c>
      <c r="J79" s="45" t="s">
        <v>12</v>
      </c>
      <c r="K79" s="45" t="s">
        <v>241</v>
      </c>
      <c r="L79" s="127"/>
      <c r="M79" s="128"/>
      <c r="N79" s="50">
        <v>1438</v>
      </c>
      <c r="O79" s="51">
        <v>438.61</v>
      </c>
      <c r="P79" s="206"/>
      <c r="Q79" s="209"/>
      <c r="R79" s="26"/>
      <c r="S79" s="200">
        <f t="shared" si="6"/>
        <v>0</v>
      </c>
      <c r="T79" s="105">
        <f>L79*0.1*0.005*0.001*Reference!$F$7</f>
        <v>0</v>
      </c>
      <c r="U79" s="105">
        <f>L79*0.1*0.0001*0.001*Reference!$F$8</f>
        <v>0</v>
      </c>
      <c r="V79" s="201">
        <f>(N79*Reference!$C$6/1000)/2204.62</f>
        <v>0.4076666273552812</v>
      </c>
      <c r="W79" s="109">
        <f>(N79/1000*0.02482)/2204.62*Reference!$F$7</f>
        <v>3.3997439921619146E-4</v>
      </c>
      <c r="X79" s="109">
        <f>(N79/1000*0.01119)/2204.62*Reference!$F$8</f>
        <v>2.2626476218123759E-3</v>
      </c>
      <c r="Y79" s="105">
        <f t="shared" si="7"/>
        <v>0</v>
      </c>
      <c r="Z79" s="285">
        <f>(P79*0.0916)*3*0.000001*Reference!$F$7</f>
        <v>0</v>
      </c>
      <c r="AA79" s="285">
        <f>(P79*0.0961)*0.6*0.000001*Reference!$F$8</f>
        <v>0</v>
      </c>
      <c r="AB79" s="111">
        <f t="shared" si="8"/>
        <v>0.41026924937630976</v>
      </c>
    </row>
    <row r="80" spans="1:30">
      <c r="A80" s="48"/>
      <c r="B80" s="38" t="s">
        <v>14</v>
      </c>
      <c r="C80" s="40" t="s">
        <v>164</v>
      </c>
      <c r="D80" s="54"/>
      <c r="E80" s="41" t="s">
        <v>115</v>
      </c>
      <c r="F80" s="55" t="s">
        <v>165</v>
      </c>
      <c r="G80" s="55"/>
      <c r="H80" s="43" t="s">
        <v>254</v>
      </c>
      <c r="I80" s="49" t="s">
        <v>248</v>
      </c>
      <c r="J80" s="57" t="s">
        <v>12</v>
      </c>
      <c r="K80" s="45" t="s">
        <v>241</v>
      </c>
      <c r="L80" s="129"/>
      <c r="M80" s="128"/>
      <c r="N80" s="50">
        <v>36469</v>
      </c>
      <c r="O80" s="51">
        <v>4903.5</v>
      </c>
      <c r="P80" s="205">
        <v>3.5</v>
      </c>
      <c r="Q80" s="209">
        <v>6.06</v>
      </c>
      <c r="R80" s="26"/>
      <c r="S80" s="200">
        <f t="shared" si="6"/>
        <v>0</v>
      </c>
      <c r="T80" s="105">
        <f>L80*0.1*0.005*0.001*Reference!$F$7</f>
        <v>0</v>
      </c>
      <c r="U80" s="105">
        <f>L80*0.1*0.0001*0.001*Reference!$F$8</f>
        <v>0</v>
      </c>
      <c r="V80" s="201">
        <f>(N80*Reference!$C$6/1000)/2204.62</f>
        <v>10.338799883880215</v>
      </c>
      <c r="W80" s="109">
        <f>(N80/1000*0.02482)/2204.62*Reference!$F$7</f>
        <v>8.6220628407616736E-3</v>
      </c>
      <c r="X80" s="109">
        <f>(N80/1000*0.01119)/2204.62*Reference!$F$8</f>
        <v>5.7382820667507328E-2</v>
      </c>
      <c r="Y80" s="105">
        <f t="shared" si="7"/>
        <v>1.9704076000000001E-2</v>
      </c>
      <c r="Z80" s="285">
        <f>(P80*0.0916)*3*0.000001*Reference!$F$7</f>
        <v>2.0197800000000002E-5</v>
      </c>
      <c r="AA80" s="285">
        <f>(P80*0.0961)*0.6*0.000001*Reference!$F$8</f>
        <v>6.2561100000000007E-5</v>
      </c>
      <c r="AB80" s="111">
        <f t="shared" si="8"/>
        <v>10.424591602288483</v>
      </c>
      <c r="AD80" s="56"/>
    </row>
    <row r="81" spans="1:30">
      <c r="A81" s="48"/>
      <c r="B81" s="38" t="s">
        <v>14</v>
      </c>
      <c r="C81" s="40" t="s">
        <v>166</v>
      </c>
      <c r="D81" s="40"/>
      <c r="E81" s="41" t="s">
        <v>115</v>
      </c>
      <c r="F81" s="41" t="s">
        <v>167</v>
      </c>
      <c r="G81" s="42"/>
      <c r="H81" s="43" t="s">
        <v>254</v>
      </c>
      <c r="I81" s="49" t="s">
        <v>248</v>
      </c>
      <c r="J81" s="45" t="s">
        <v>12</v>
      </c>
      <c r="K81" s="45" t="s">
        <v>241</v>
      </c>
      <c r="L81" s="127"/>
      <c r="M81" s="128"/>
      <c r="N81" s="50">
        <v>84821</v>
      </c>
      <c r="O81" s="51">
        <v>10141.25</v>
      </c>
      <c r="P81" s="206"/>
      <c r="Q81" s="209"/>
      <c r="R81" s="26"/>
      <c r="S81" s="200">
        <f t="shared" si="6"/>
        <v>0</v>
      </c>
      <c r="T81" s="105">
        <f>L81*0.1*0.005*0.001*Reference!$F$7</f>
        <v>0</v>
      </c>
      <c r="U81" s="105">
        <f>L81*0.1*0.0001*0.001*Reference!$F$8</f>
        <v>0</v>
      </c>
      <c r="V81" s="201">
        <f>(N81*Reference!$C$6/1000)/2204.62</f>
        <v>24.046377607025249</v>
      </c>
      <c r="W81" s="109">
        <f>(N81/1000*0.02482)/2204.62*Reference!$F$7</f>
        <v>2.0053524698133918E-2</v>
      </c>
      <c r="X81" s="109">
        <f>(N81/1000*0.01119)/2204.62*Reference!$F$8</f>
        <v>0.13346316684961582</v>
      </c>
      <c r="Y81" s="105">
        <f t="shared" si="7"/>
        <v>0</v>
      </c>
      <c r="Z81" s="285">
        <f>(P81*0.0916)*3*0.000001*Reference!$F$7</f>
        <v>0</v>
      </c>
      <c r="AA81" s="285">
        <f>(P81*0.0961)*0.6*0.000001*Reference!$F$8</f>
        <v>0</v>
      </c>
      <c r="AB81" s="111">
        <f t="shared" si="8"/>
        <v>24.199894298573</v>
      </c>
      <c r="AD81" s="56"/>
    </row>
    <row r="82" spans="1:30">
      <c r="A82" s="48"/>
      <c r="B82" s="38" t="s">
        <v>14</v>
      </c>
      <c r="C82" s="39" t="s">
        <v>110</v>
      </c>
      <c r="D82" s="40" t="s">
        <v>110</v>
      </c>
      <c r="E82" s="41" t="s">
        <v>115</v>
      </c>
      <c r="F82" s="41" t="s">
        <v>83</v>
      </c>
      <c r="G82" s="42"/>
      <c r="H82" s="43" t="s">
        <v>254</v>
      </c>
      <c r="I82" s="49" t="s">
        <v>248</v>
      </c>
      <c r="J82" s="49" t="s">
        <v>12</v>
      </c>
      <c r="K82" s="45" t="s">
        <v>241</v>
      </c>
      <c r="L82" s="125">
        <v>10</v>
      </c>
      <c r="M82" s="126">
        <v>263.37</v>
      </c>
      <c r="N82" s="46">
        <v>11805</v>
      </c>
      <c r="O82" s="47">
        <v>1729.42</v>
      </c>
      <c r="P82" s="206"/>
      <c r="Q82" s="209"/>
      <c r="R82" s="26"/>
      <c r="S82" s="200">
        <f t="shared" si="6"/>
        <v>5.3020000000000005E-2</v>
      </c>
      <c r="T82" s="105">
        <f>L82*0.1*0.005*0.001*Reference!$F$7</f>
        <v>1.05E-4</v>
      </c>
      <c r="U82" s="105">
        <f>L82*0.1*0.0001*0.001*Reference!$F$8</f>
        <v>3.1000000000000001E-5</v>
      </c>
      <c r="V82" s="201">
        <f>(N82*Reference!$C$6/1000)/2204.62</f>
        <v>3.3466651849298295</v>
      </c>
      <c r="W82" s="109">
        <f>(N82/1000*0.02482)/2204.62*Reference!$F$7</f>
        <v>2.7909581243026008E-3</v>
      </c>
      <c r="X82" s="109">
        <f>(N82/1000*0.01119)/2204.62*Reference!$F$8</f>
        <v>1.8574794976004935E-2</v>
      </c>
      <c r="Y82" s="105">
        <f t="shared" si="7"/>
        <v>0</v>
      </c>
      <c r="Z82" s="285">
        <f>(P82*0.0916)*3*0.000001*Reference!$F$7</f>
        <v>0</v>
      </c>
      <c r="AA82" s="285">
        <f>(P82*0.0961)*0.6*0.000001*Reference!$F$8</f>
        <v>0</v>
      </c>
      <c r="AB82" s="111">
        <f t="shared" si="8"/>
        <v>3.4211869380301372</v>
      </c>
      <c r="AD82" s="56"/>
    </row>
    <row r="83" spans="1:30">
      <c r="A83" s="48"/>
      <c r="B83" s="38" t="s">
        <v>14</v>
      </c>
      <c r="C83" s="40" t="s">
        <v>120</v>
      </c>
      <c r="D83" s="54"/>
      <c r="E83" s="55" t="s">
        <v>321</v>
      </c>
      <c r="F83" s="55" t="s">
        <v>119</v>
      </c>
      <c r="G83" s="55"/>
      <c r="H83" s="43" t="s">
        <v>254</v>
      </c>
      <c r="I83" s="49" t="s">
        <v>10</v>
      </c>
      <c r="J83" s="196" t="s">
        <v>13</v>
      </c>
      <c r="K83" s="45" t="s">
        <v>242</v>
      </c>
      <c r="L83" s="129"/>
      <c r="M83" s="128"/>
      <c r="N83" s="50">
        <v>41</v>
      </c>
      <c r="O83" s="51">
        <v>260.16000000000003</v>
      </c>
      <c r="P83" s="205"/>
      <c r="Q83" s="209"/>
      <c r="R83" s="26"/>
      <c r="S83" s="200">
        <f t="shared" si="6"/>
        <v>0</v>
      </c>
      <c r="T83" s="105">
        <f>L83*0.1*0.005*0.001*Reference!$F$7</f>
        <v>0</v>
      </c>
      <c r="U83" s="105">
        <f>L83*0.1*0.0001*0.001*Reference!$F$8</f>
        <v>0</v>
      </c>
      <c r="V83" s="201">
        <f>(N83*Reference!$C$6/1000)/2204.62</f>
        <v>1.1623318304288269E-2</v>
      </c>
      <c r="W83" s="109">
        <f>(N83/1000*0.02482)/2204.62*Reference!$F$7</f>
        <v>9.693289546497808E-6</v>
      </c>
      <c r="X83" s="109">
        <f>(N83/1000*0.01119)/2204.62*Reference!$F$8</f>
        <v>6.4512206185192924E-5</v>
      </c>
      <c r="Y83" s="105">
        <f t="shared" si="7"/>
        <v>0</v>
      </c>
      <c r="Z83" s="285">
        <f>(P83*0.0916)*3*0.000001*Reference!$F$7</f>
        <v>0</v>
      </c>
      <c r="AA83" s="285">
        <f>(P83*0.0961)*0.6*0.000001*Reference!$F$8</f>
        <v>0</v>
      </c>
      <c r="AB83" s="111">
        <f t="shared" si="8"/>
        <v>1.169752380001996E-2</v>
      </c>
    </row>
    <row r="84" spans="1:30">
      <c r="A84" s="48"/>
      <c r="B84" s="38" t="s">
        <v>14</v>
      </c>
      <c r="C84" s="39" t="s">
        <v>97</v>
      </c>
      <c r="D84" s="52" t="s">
        <v>105</v>
      </c>
      <c r="E84" s="55" t="s">
        <v>321</v>
      </c>
      <c r="F84" s="41" t="s">
        <v>62</v>
      </c>
      <c r="G84" s="42" t="s">
        <v>87</v>
      </c>
      <c r="H84" s="43" t="s">
        <v>254</v>
      </c>
      <c r="I84" s="49" t="s">
        <v>10</v>
      </c>
      <c r="J84" s="49" t="s">
        <v>11</v>
      </c>
      <c r="K84" s="45" t="s">
        <v>242</v>
      </c>
      <c r="L84" s="130">
        <v>11377</v>
      </c>
      <c r="M84" s="131">
        <v>8277.58</v>
      </c>
      <c r="N84" s="46">
        <v>428479</v>
      </c>
      <c r="O84" s="47">
        <v>42724.72</v>
      </c>
      <c r="P84" s="210">
        <v>3.5</v>
      </c>
      <c r="Q84" s="211">
        <v>6.06</v>
      </c>
      <c r="R84" s="26"/>
      <c r="S84" s="200">
        <f t="shared" si="6"/>
        <v>60.320854000000011</v>
      </c>
      <c r="T84" s="105">
        <f>L84*0.1*0.005*0.001*Reference!$F$7</f>
        <v>0.11945850000000002</v>
      </c>
      <c r="U84" s="105">
        <f>L84*0.1*0.0001*0.001*Reference!$F$8</f>
        <v>3.5268700000000007E-2</v>
      </c>
      <c r="V84" s="201">
        <f>(N84*Reference!$C$6/1000)/2204.62</f>
        <v>121.47189765129592</v>
      </c>
      <c r="W84" s="109">
        <f>(N84/1000*0.02482)/2204.62*Reference!$F$7</f>
        <v>0.10130173199009353</v>
      </c>
      <c r="X84" s="109">
        <f>(N84/1000*0.01119)/2204.62*Reference!$F$8</f>
        <v>0.67419818522012853</v>
      </c>
      <c r="Y84" s="105">
        <f t="shared" si="7"/>
        <v>1.9704076000000001E-2</v>
      </c>
      <c r="Z84" s="285">
        <f>(P84*0.0916)*3*0.000001*Reference!$F$7</f>
        <v>2.0197800000000002E-5</v>
      </c>
      <c r="AA84" s="285">
        <f>(P84*0.0961)*0.6*0.000001*Reference!$F$8</f>
        <v>6.2561100000000007E-5</v>
      </c>
      <c r="AB84" s="111">
        <f t="shared" si="8"/>
        <v>182.74276560340618</v>
      </c>
    </row>
    <row r="85" spans="1:30">
      <c r="A85" s="48"/>
      <c r="B85" s="38" t="s">
        <v>14</v>
      </c>
      <c r="C85" s="39" t="s">
        <v>98</v>
      </c>
      <c r="D85" s="40"/>
      <c r="E85" s="55" t="s">
        <v>321</v>
      </c>
      <c r="F85" s="41" t="s">
        <v>62</v>
      </c>
      <c r="G85" s="42" t="s">
        <v>87</v>
      </c>
      <c r="H85" s="43" t="s">
        <v>254</v>
      </c>
      <c r="I85" s="49" t="s">
        <v>10</v>
      </c>
      <c r="J85" s="49" t="s">
        <v>11</v>
      </c>
      <c r="K85" s="45" t="s">
        <v>242</v>
      </c>
      <c r="L85" s="129"/>
      <c r="M85" s="128"/>
      <c r="N85" s="46">
        <v>19134</v>
      </c>
      <c r="O85" s="47">
        <v>2840.31</v>
      </c>
      <c r="P85" s="206"/>
      <c r="Q85" s="209"/>
      <c r="R85" s="26"/>
      <c r="S85" s="200">
        <f t="shared" si="6"/>
        <v>0</v>
      </c>
      <c r="T85" s="105">
        <f>L85*0.1*0.005*0.001*Reference!$F$7</f>
        <v>0</v>
      </c>
      <c r="U85" s="105">
        <f>L85*0.1*0.0001*0.001*Reference!$F$8</f>
        <v>0</v>
      </c>
      <c r="V85" s="201">
        <f>(N85*Reference!$C$6/1000)/2204.62</f>
        <v>5.4244042057134569</v>
      </c>
      <c r="W85" s="109">
        <f>(N85/1000*0.02482)/2204.62*Reference!$F$7</f>
        <v>4.523692736163148E-3</v>
      </c>
      <c r="X85" s="109">
        <f>(N85/1000*0.01119)/2204.62*Reference!$F$8</f>
        <v>3.0106745198719052E-2</v>
      </c>
      <c r="Y85" s="105">
        <f t="shared" si="7"/>
        <v>0</v>
      </c>
      <c r="Z85" s="285">
        <f>(P85*0.0916)*3*0.000001*Reference!$F$7</f>
        <v>0</v>
      </c>
      <c r="AA85" s="285">
        <f>(P85*0.0961)*0.6*0.000001*Reference!$F$8</f>
        <v>0</v>
      </c>
      <c r="AB85" s="111">
        <f t="shared" si="8"/>
        <v>5.459034643648339</v>
      </c>
      <c r="AD85" s="56"/>
    </row>
    <row r="86" spans="1:30">
      <c r="A86" s="48"/>
      <c r="B86" s="38" t="s">
        <v>14</v>
      </c>
      <c r="C86" s="40" t="s">
        <v>172</v>
      </c>
      <c r="D86" s="40"/>
      <c r="E86" s="55" t="s">
        <v>321</v>
      </c>
      <c r="F86" s="41" t="s">
        <v>173</v>
      </c>
      <c r="G86" s="42" t="s">
        <v>174</v>
      </c>
      <c r="H86" s="43" t="s">
        <v>254</v>
      </c>
      <c r="I86" s="44" t="s">
        <v>10</v>
      </c>
      <c r="J86" s="45" t="s">
        <v>11</v>
      </c>
      <c r="K86" s="45" t="s">
        <v>242</v>
      </c>
      <c r="L86" s="127"/>
      <c r="M86" s="128"/>
      <c r="N86" s="50">
        <v>20510</v>
      </c>
      <c r="O86" s="51">
        <v>2620.63</v>
      </c>
      <c r="P86" s="206"/>
      <c r="Q86" s="209"/>
      <c r="R86" s="26"/>
      <c r="S86" s="200">
        <f t="shared" si="6"/>
        <v>0</v>
      </c>
      <c r="T86" s="105">
        <f>L86*0.1*0.005*0.001*Reference!$F$7</f>
        <v>0</v>
      </c>
      <c r="U86" s="105">
        <f>L86*0.1*0.0001*0.001*Reference!$F$8</f>
        <v>0</v>
      </c>
      <c r="V86" s="201">
        <f>(N86*Reference!$C$6/1000)/2204.62</f>
        <v>5.8144941078281072</v>
      </c>
      <c r="W86" s="109">
        <f>(N86/1000*0.02482)/2204.62*Reference!$F$7</f>
        <v>4.849008990211465E-3</v>
      </c>
      <c r="X86" s="109">
        <f>(N86/1000*0.01119)/2204.62*Reference!$F$8</f>
        <v>3.2271837777031874E-2</v>
      </c>
      <c r="Y86" s="105">
        <f t="shared" si="7"/>
        <v>0</v>
      </c>
      <c r="Z86" s="285">
        <f>(P86*0.0916)*3*0.000001*Reference!$F$7</f>
        <v>0</v>
      </c>
      <c r="AA86" s="285">
        <f>(P86*0.0961)*0.6*0.000001*Reference!$F$8</f>
        <v>0</v>
      </c>
      <c r="AB86" s="111">
        <f t="shared" si="8"/>
        <v>5.85161495459535</v>
      </c>
    </row>
    <row r="87" spans="1:30">
      <c r="A87" s="48"/>
      <c r="B87" s="38" t="s">
        <v>14</v>
      </c>
      <c r="C87" s="39"/>
      <c r="D87" s="40" t="s">
        <v>109</v>
      </c>
      <c r="E87" s="41" t="s">
        <v>328</v>
      </c>
      <c r="F87" s="41" t="s">
        <v>82</v>
      </c>
      <c r="G87" s="42"/>
      <c r="H87" s="43" t="s">
        <v>254</v>
      </c>
      <c r="I87" s="49" t="s">
        <v>10</v>
      </c>
      <c r="J87" s="49" t="s">
        <v>12</v>
      </c>
      <c r="K87" s="45" t="s">
        <v>242</v>
      </c>
      <c r="L87" s="127">
        <v>3548</v>
      </c>
      <c r="M87" s="128">
        <v>2930.75</v>
      </c>
      <c r="N87" s="46"/>
      <c r="O87" s="47"/>
      <c r="P87" s="204"/>
      <c r="Q87" s="209"/>
      <c r="R87" s="26"/>
      <c r="S87" s="200">
        <f t="shared" si="6"/>
        <v>18.811496000000002</v>
      </c>
      <c r="T87" s="105">
        <f>L87*0.1*0.005*0.001*Reference!$F$7</f>
        <v>3.7254000000000002E-2</v>
      </c>
      <c r="U87" s="105">
        <f>L87*0.1*0.0001*0.001*Reference!$F$8</f>
        <v>1.0998800000000001E-2</v>
      </c>
      <c r="V87" s="201">
        <f>(N87*Reference!$C$6/1000)/2204.62</f>
        <v>0</v>
      </c>
      <c r="W87" s="109">
        <f>(N87/1000*0.02482)/2204.62*Reference!$F$7</f>
        <v>0</v>
      </c>
      <c r="X87" s="109">
        <f>(N87/1000*0.01119)/2204.62*Reference!$F$8</f>
        <v>0</v>
      </c>
      <c r="Y87" s="105">
        <f t="shared" si="7"/>
        <v>0</v>
      </c>
      <c r="Z87" s="285">
        <f>(P87*0.0916)*3*0.000001*Reference!$F$7</f>
        <v>0</v>
      </c>
      <c r="AA87" s="285">
        <f>(P87*0.0961)*0.6*0.000001*Reference!$F$8</f>
        <v>0</v>
      </c>
      <c r="AB87" s="111">
        <f t="shared" si="8"/>
        <v>18.859748800000002</v>
      </c>
    </row>
    <row r="88" spans="1:30">
      <c r="AB88" s="60"/>
    </row>
    <row r="89" spans="1:30" ht="15.75" thickBot="1">
      <c r="K89" s="113" t="s">
        <v>256</v>
      </c>
      <c r="L89" s="160">
        <f>SUM(L10:L88)</f>
        <v>122082</v>
      </c>
      <c r="M89" s="122">
        <f>SUM(M10:M88)</f>
        <v>89023.09</v>
      </c>
      <c r="N89" s="161">
        <f>SUM(N10:N88)</f>
        <v>3471926</v>
      </c>
      <c r="O89" s="114">
        <f>SUM(O10:O88)</f>
        <v>646173.28</v>
      </c>
      <c r="P89" s="239">
        <f>SUM(P10:P88)</f>
        <v>24.5</v>
      </c>
      <c r="Q89" s="114">
        <f t="shared" ref="Q89" si="9">SUM(Q10:Q88)</f>
        <v>42.42</v>
      </c>
      <c r="S89" s="118">
        <f t="shared" ref="S89:AA89" si="10">SUM(S10:S88)</f>
        <v>647.27876400000002</v>
      </c>
      <c r="T89" s="119">
        <f t="shared" si="10"/>
        <v>1.2818610000000001</v>
      </c>
      <c r="U89" s="120">
        <f t="shared" si="10"/>
        <v>0.37845420000000002</v>
      </c>
      <c r="V89" s="117">
        <f t="shared" si="10"/>
        <v>984.27563480327706</v>
      </c>
      <c r="W89" s="117">
        <f t="shared" si="10"/>
        <v>0.8208386341954621</v>
      </c>
      <c r="X89" s="117">
        <f t="shared" si="10"/>
        <v>5.4629659993105388</v>
      </c>
      <c r="Y89" s="118">
        <f t="shared" si="10"/>
        <v>0.13792853199999999</v>
      </c>
      <c r="Z89" s="119">
        <f t="shared" si="10"/>
        <v>1.413846E-4</v>
      </c>
      <c r="AA89" s="120">
        <f t="shared" si="10"/>
        <v>4.3792770000000009E-4</v>
      </c>
      <c r="AB89" s="121">
        <f>SUBTOTAL(9,AB10:AB88)</f>
        <v>1639.6370264810837</v>
      </c>
    </row>
    <row r="90" spans="1:30" ht="15.75" thickTop="1"/>
    <row r="91" spans="1:30" ht="15.75" thickBot="1">
      <c r="S91" s="112"/>
      <c r="T91" s="113" t="s">
        <v>271</v>
      </c>
      <c r="U91" s="115">
        <f>S89+T89+U89</f>
        <v>648.93907920000004</v>
      </c>
      <c r="V91" s="112"/>
      <c r="W91" s="113" t="s">
        <v>272</v>
      </c>
      <c r="X91" s="116">
        <f>V89+W89+X89</f>
        <v>990.55943943678301</v>
      </c>
      <c r="Z91" s="113" t="s">
        <v>362</v>
      </c>
      <c r="AA91" s="240">
        <f>Y89+Z89+AA89</f>
        <v>0.13850784429999999</v>
      </c>
    </row>
    <row r="92" spans="1:30" ht="15.75" thickTop="1"/>
  </sheetData>
  <autoFilter ref="B9:AB87">
    <sortState ref="B10:AB87">
      <sortCondition ref="I9:I87"/>
    </sortState>
  </autoFilter>
  <mergeCells count="7">
    <mergeCell ref="V1:W1"/>
    <mergeCell ref="S1:U1"/>
    <mergeCell ref="B8:D8"/>
    <mergeCell ref="S8:AB8"/>
    <mergeCell ref="I8:K8"/>
    <mergeCell ref="L8:Q8"/>
    <mergeCell ref="E8:H8"/>
  </mergeCells>
  <phoneticPr fontId="8" type="noConversion"/>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'City Categories'!$B$5:$B$10</xm:f>
          </x14:formula1>
          <xm:sqref>H10:H87</xm:sqref>
        </x14:dataValidation>
        <x14:dataValidation type="list" allowBlank="1" showInputMessage="1" showErrorMessage="1">
          <x14:formula1>
            <xm:f>'City Categories'!$B$24:$B$36</xm:f>
          </x14:formula1>
          <xm:sqref>K10:K87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2:L24"/>
  <sheetViews>
    <sheetView zoomScale="125" zoomScaleNormal="125" zoomScalePageLayoutView="125" workbookViewId="0">
      <selection activeCell="F21" sqref="F21"/>
    </sheetView>
  </sheetViews>
  <sheetFormatPr defaultColWidth="8.85546875" defaultRowHeight="15"/>
  <cols>
    <col min="1" max="1" width="2.42578125" customWidth="1"/>
    <col min="2" max="2" width="17.85546875" customWidth="1"/>
    <col min="3" max="3" width="11.85546875" customWidth="1"/>
    <col min="4" max="4" width="10.85546875" customWidth="1"/>
    <col min="5" max="6" width="10.85546875" style="8" customWidth="1"/>
    <col min="7" max="7" width="13.42578125" style="8" customWidth="1"/>
    <col min="8" max="9" width="15.42578125" customWidth="1"/>
    <col min="10" max="10" width="11.85546875" customWidth="1"/>
    <col min="11" max="11" width="13" customWidth="1"/>
    <col min="12" max="12" width="17.140625" customWidth="1"/>
  </cols>
  <sheetData>
    <row r="2" spans="1:12">
      <c r="B2" s="7"/>
      <c r="C2" s="4"/>
      <c r="D2" s="4"/>
      <c r="H2" s="4"/>
      <c r="I2" s="4"/>
      <c r="J2" s="4"/>
      <c r="K2" s="4"/>
    </row>
    <row r="3" spans="1:12">
      <c r="B3" s="7"/>
      <c r="C3" s="4"/>
      <c r="D3" s="4"/>
      <c r="H3" s="4"/>
      <c r="I3" s="4"/>
      <c r="J3" s="4"/>
      <c r="K3" s="4"/>
    </row>
    <row r="4" spans="1:12">
      <c r="B4" s="1"/>
      <c r="C4" s="9"/>
      <c r="D4" s="9"/>
      <c r="E4" s="10"/>
      <c r="F4" s="10"/>
      <c r="H4" s="4"/>
      <c r="I4" s="4"/>
      <c r="J4" s="4"/>
      <c r="K4" s="4"/>
    </row>
    <row r="5" spans="1:12">
      <c r="B5" s="1"/>
      <c r="C5" s="9"/>
      <c r="D5" s="9"/>
      <c r="E5" s="10"/>
      <c r="F5" s="10"/>
      <c r="H5" s="4"/>
      <c r="I5" s="4"/>
      <c r="J5" s="4"/>
      <c r="K5" s="4"/>
    </row>
    <row r="6" spans="1:12">
      <c r="B6" s="1"/>
      <c r="C6" s="9"/>
      <c r="D6" s="9"/>
      <c r="E6" s="10"/>
      <c r="F6" s="10"/>
      <c r="H6" s="4"/>
      <c r="I6" s="4"/>
      <c r="J6" s="4"/>
      <c r="K6" s="4"/>
    </row>
    <row r="7" spans="1:12">
      <c r="B7" s="1"/>
      <c r="C7" s="9"/>
      <c r="D7" s="9"/>
      <c r="E7" s="10"/>
      <c r="F7" s="10"/>
      <c r="H7" s="4"/>
      <c r="I7" s="4"/>
      <c r="J7" s="4"/>
      <c r="K7" s="4"/>
    </row>
    <row r="8" spans="1:12">
      <c r="B8" s="1"/>
      <c r="C8" s="9"/>
      <c r="D8" s="9"/>
      <c r="E8" s="10"/>
      <c r="F8" s="10"/>
      <c r="H8" s="4"/>
      <c r="I8" s="4"/>
      <c r="J8" s="4"/>
      <c r="K8" s="4"/>
    </row>
    <row r="9" spans="1:12">
      <c r="C9" s="4"/>
      <c r="D9" s="4"/>
      <c r="H9" s="4"/>
      <c r="I9" s="4"/>
      <c r="J9" s="4"/>
      <c r="K9" s="4"/>
    </row>
    <row r="10" spans="1:12" ht="45.95" customHeight="1">
      <c r="A10" s="84"/>
      <c r="B10" s="89" t="s">
        <v>66</v>
      </c>
      <c r="C10" s="90" t="s">
        <v>301</v>
      </c>
      <c r="D10" s="90" t="s">
        <v>302</v>
      </c>
      <c r="E10" s="91" t="s">
        <v>303</v>
      </c>
      <c r="F10" s="91" t="s">
        <v>304</v>
      </c>
      <c r="G10" s="92" t="s">
        <v>294</v>
      </c>
      <c r="H10" s="90" t="s">
        <v>295</v>
      </c>
      <c r="I10" s="90" t="s">
        <v>296</v>
      </c>
      <c r="J10" s="90" t="s">
        <v>297</v>
      </c>
      <c r="K10" s="90" t="s">
        <v>298</v>
      </c>
      <c r="L10" s="90" t="s">
        <v>279</v>
      </c>
    </row>
    <row r="11" spans="1:12">
      <c r="A11" s="84"/>
      <c r="B11" s="83" t="s">
        <v>67</v>
      </c>
      <c r="C11" s="11">
        <v>1603.41</v>
      </c>
      <c r="D11" s="11">
        <v>4129.6000000000004</v>
      </c>
      <c r="E11" s="186" t="s">
        <v>331</v>
      </c>
      <c r="F11" s="186" t="s">
        <v>331</v>
      </c>
      <c r="G11" s="88">
        <v>19094.46</v>
      </c>
      <c r="H11" s="19">
        <f>(C11*8.78)/1000</f>
        <v>14.077939799999999</v>
      </c>
      <c r="I11" s="19">
        <f>(D11*10.21)/1000</f>
        <v>42.163216000000006</v>
      </c>
      <c r="J11" s="19">
        <f>(H11+I11)</f>
        <v>56.241155800000001</v>
      </c>
      <c r="K11" s="19">
        <f>J11*0.012</f>
        <v>0.67489386960000008</v>
      </c>
      <c r="L11" s="11">
        <f>J11+K11</f>
        <v>56.9160496696</v>
      </c>
    </row>
    <row r="12" spans="1:12">
      <c r="A12" s="84"/>
      <c r="B12" s="83" t="s">
        <v>74</v>
      </c>
      <c r="C12" s="11">
        <v>1143.7</v>
      </c>
      <c r="D12" s="11">
        <v>0</v>
      </c>
      <c r="E12" s="88">
        <v>3802.85</v>
      </c>
      <c r="F12" s="88">
        <v>0</v>
      </c>
      <c r="G12" s="88">
        <v>3802.85</v>
      </c>
      <c r="H12" s="19">
        <f>(C12*8.78)/1000</f>
        <v>10.041686</v>
      </c>
      <c r="I12" s="19">
        <f>(D12*10.21)/1000</f>
        <v>0</v>
      </c>
      <c r="J12" s="19">
        <f>(H12+I12)</f>
        <v>10.041686</v>
      </c>
      <c r="K12" s="19">
        <f t="shared" ref="K12:K21" si="0">J12*0.012</f>
        <v>0.12050023200000001</v>
      </c>
      <c r="L12" s="11">
        <f>J12+K12</f>
        <v>10.162186232</v>
      </c>
    </row>
    <row r="13" spans="1:12">
      <c r="A13" s="84"/>
      <c r="B13" s="83" t="s">
        <v>68</v>
      </c>
      <c r="C13" s="11">
        <v>19837.7</v>
      </c>
      <c r="D13" s="11">
        <v>0</v>
      </c>
      <c r="E13" s="88">
        <v>54065</v>
      </c>
      <c r="F13" s="187">
        <v>0</v>
      </c>
      <c r="G13" s="88">
        <v>54065</v>
      </c>
      <c r="H13" s="19">
        <f>(C13*8.78)/1000</f>
        <v>174.175006</v>
      </c>
      <c r="I13" s="19">
        <f t="shared" ref="I13:I14" si="1">(D13*10.21)/1000</f>
        <v>0</v>
      </c>
      <c r="J13" s="19">
        <f t="shared" ref="J13:J21" si="2">(H13+I13)</f>
        <v>174.175006</v>
      </c>
      <c r="K13" s="19">
        <f t="shared" si="0"/>
        <v>2.0901000719999998</v>
      </c>
      <c r="L13" s="11">
        <f>J13+K13</f>
        <v>176.26510607200001</v>
      </c>
    </row>
    <row r="14" spans="1:12">
      <c r="A14" s="84"/>
      <c r="B14" s="83" t="s">
        <v>254</v>
      </c>
      <c r="C14" s="11">
        <v>10882.16</v>
      </c>
      <c r="D14" s="11">
        <v>24688.5</v>
      </c>
      <c r="E14" s="186" t="s">
        <v>331</v>
      </c>
      <c r="F14" s="186" t="s">
        <v>331</v>
      </c>
      <c r="G14" s="88">
        <v>125724.27</v>
      </c>
      <c r="H14" s="19">
        <f>(C14*8.78)/1000</f>
        <v>95.545364800000002</v>
      </c>
      <c r="I14" s="19">
        <f t="shared" si="1"/>
        <v>252.06958500000002</v>
      </c>
      <c r="J14" s="19">
        <f>(H14+I14)</f>
        <v>347.61494980000003</v>
      </c>
      <c r="K14" s="19">
        <f t="shared" si="0"/>
        <v>4.1713793976000009</v>
      </c>
      <c r="L14" s="11">
        <f>J14+K14</f>
        <v>351.78632919760003</v>
      </c>
    </row>
    <row r="15" spans="1:12">
      <c r="B15" s="85" t="s">
        <v>61</v>
      </c>
      <c r="C15" s="86">
        <v>2427.3000000000002</v>
      </c>
      <c r="D15" s="86"/>
      <c r="E15" s="87"/>
      <c r="F15" s="87"/>
      <c r="G15" s="87">
        <v>9143.83</v>
      </c>
      <c r="H15" s="173"/>
      <c r="I15" s="19"/>
      <c r="J15" s="19"/>
      <c r="K15" s="19"/>
      <c r="L15" s="11"/>
    </row>
    <row r="16" spans="1:12">
      <c r="B16" s="85" t="s">
        <v>69</v>
      </c>
      <c r="C16" s="86">
        <v>1131.9000000000001</v>
      </c>
      <c r="D16" s="86">
        <v>90</v>
      </c>
      <c r="E16" s="87"/>
      <c r="F16" s="87"/>
      <c r="G16" s="87">
        <v>5453.74</v>
      </c>
      <c r="H16" s="173"/>
      <c r="I16" s="19"/>
      <c r="J16" s="19"/>
      <c r="K16" s="19"/>
      <c r="L16" s="11"/>
    </row>
    <row r="17" spans="2:12">
      <c r="B17" s="85" t="s">
        <v>70</v>
      </c>
      <c r="C17" s="86">
        <v>2269</v>
      </c>
      <c r="D17" s="86">
        <v>352.4</v>
      </c>
      <c r="E17" s="87"/>
      <c r="F17" s="87"/>
      <c r="G17" s="87">
        <v>10880.46</v>
      </c>
      <c r="H17" s="173"/>
      <c r="I17" s="19"/>
      <c r="J17" s="19"/>
      <c r="K17" s="19"/>
      <c r="L17" s="11"/>
    </row>
    <row r="18" spans="2:12">
      <c r="B18" s="85" t="s">
        <v>73</v>
      </c>
      <c r="C18" s="86">
        <v>1016.7</v>
      </c>
      <c r="D18" s="86">
        <v>10134.6</v>
      </c>
      <c r="E18" s="87"/>
      <c r="F18" s="87"/>
      <c r="G18" s="87">
        <v>40762.239999999998</v>
      </c>
      <c r="H18" s="173"/>
      <c r="I18" s="19"/>
      <c r="J18" s="19"/>
      <c r="K18" s="19"/>
      <c r="L18" s="11"/>
    </row>
    <row r="19" spans="2:12">
      <c r="B19" s="139" t="s">
        <v>71</v>
      </c>
      <c r="C19" s="101">
        <f>SUM(C11:C18)</f>
        <v>40311.870000000003</v>
      </c>
      <c r="D19" s="101">
        <f>SUM(D11:D18)</f>
        <v>39395.1</v>
      </c>
      <c r="E19" s="102">
        <f>SUM(E12:E12)</f>
        <v>3802.85</v>
      </c>
      <c r="F19" s="102"/>
      <c r="G19" s="102">
        <f>SUM(G11:G18)</f>
        <v>268926.84999999998</v>
      </c>
      <c r="H19" s="135">
        <f>(C19*8.78)/1000</f>
        <v>353.93821860000003</v>
      </c>
      <c r="I19" s="12">
        <f>(D19*10.21)/1000</f>
        <v>402.22397100000001</v>
      </c>
      <c r="J19" s="136">
        <f>(H19+I19)</f>
        <v>756.16218960000003</v>
      </c>
      <c r="K19" s="136">
        <f t="shared" si="0"/>
        <v>9.0739462752000009</v>
      </c>
      <c r="L19" s="11"/>
    </row>
    <row r="20" spans="2:12" ht="15.75" thickBot="1">
      <c r="B20" s="139" t="s">
        <v>72</v>
      </c>
      <c r="C20" s="101">
        <f>SUM(C15:C18)</f>
        <v>6844.9000000000005</v>
      </c>
      <c r="D20" s="101">
        <f>SUM(D15:D18)</f>
        <v>10577</v>
      </c>
      <c r="E20" s="102"/>
      <c r="F20" s="102"/>
      <c r="G20" s="191">
        <f>SUM(G15:G18)</f>
        <v>66240.26999999999</v>
      </c>
      <c r="H20" s="135">
        <f t="shared" ref="H20" si="3">(C20*8.78)/1000</f>
        <v>60.098222</v>
      </c>
      <c r="I20" s="12">
        <f t="shared" ref="I20" si="4">(D20*10.21)/1000</f>
        <v>107.99117000000001</v>
      </c>
      <c r="J20" s="136">
        <f t="shared" si="2"/>
        <v>168.089392</v>
      </c>
      <c r="K20" s="136">
        <f t="shared" si="0"/>
        <v>2.0170727040000003</v>
      </c>
      <c r="L20" s="11"/>
    </row>
    <row r="21" spans="2:12" ht="15.75" thickBot="1">
      <c r="B21" s="13" t="s">
        <v>275</v>
      </c>
      <c r="C21" s="14">
        <f>C19-C20</f>
        <v>33466.97</v>
      </c>
      <c r="D21" s="14">
        <f>D19-D20</f>
        <v>28818.1</v>
      </c>
      <c r="E21" s="188">
        <f>SUM(E11:E14)</f>
        <v>57867.85</v>
      </c>
      <c r="F21" s="189" t="s">
        <v>331</v>
      </c>
      <c r="G21" s="192">
        <f>SUM(G11:G14)</f>
        <v>202686.58000000002</v>
      </c>
      <c r="H21" s="190">
        <f>(C21*8.78)/1000</f>
        <v>293.83999660000001</v>
      </c>
      <c r="I21" s="12">
        <f>(D21*10.21)/1000</f>
        <v>294.23280100000005</v>
      </c>
      <c r="J21" s="136">
        <f t="shared" si="2"/>
        <v>588.07279760000006</v>
      </c>
      <c r="K21" s="136">
        <f t="shared" si="0"/>
        <v>7.0568735712000006</v>
      </c>
      <c r="L21" s="132"/>
    </row>
    <row r="22" spans="2:12" ht="16.5" thickTop="1" thickBot="1">
      <c r="B22" s="380" t="s">
        <v>276</v>
      </c>
      <c r="C22" s="381"/>
      <c r="D22" s="381"/>
      <c r="E22" s="381"/>
      <c r="F22" s="381"/>
      <c r="G22" s="381"/>
      <c r="H22" s="140">
        <f>H21*0.012</f>
        <v>3.5260799592000001</v>
      </c>
      <c r="I22" s="140">
        <f>I21*0.012</f>
        <v>3.5307936120000005</v>
      </c>
      <c r="J22" s="137"/>
      <c r="K22" s="138"/>
      <c r="L22" s="193"/>
    </row>
    <row r="23" spans="2:12" ht="15.75" thickBot="1">
      <c r="B23" s="382" t="s">
        <v>277</v>
      </c>
      <c r="C23" s="383"/>
      <c r="D23" s="383"/>
      <c r="E23" s="383"/>
      <c r="F23" s="383"/>
      <c r="G23" s="384"/>
      <c r="H23" s="141">
        <f>H21+H22</f>
        <v>297.3660765592</v>
      </c>
      <c r="I23" s="141">
        <f>I21+I22</f>
        <v>297.76359461200008</v>
      </c>
      <c r="J23" s="133"/>
      <c r="K23" s="134" t="s">
        <v>278</v>
      </c>
      <c r="L23" s="194">
        <f>SUM(L11:L14)</f>
        <v>595.12967117120002</v>
      </c>
    </row>
    <row r="24" spans="2:12">
      <c r="C24" s="4"/>
      <c r="D24" s="4"/>
      <c r="H24" s="4"/>
      <c r="I24" s="4"/>
      <c r="J24" s="4"/>
      <c r="K24" s="4"/>
    </row>
  </sheetData>
  <mergeCells count="2">
    <mergeCell ref="B22:G22"/>
    <mergeCell ref="B23:G23"/>
  </mergeCells>
  <phoneticPr fontId="8" type="noConversion"/>
  <pageMargins left="0.7" right="0.7" top="0.75" bottom="0.75" header="0.3" footer="0.3"/>
  <pageSetup orientation="landscape"/>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'City Categories'!$B$5:$B$10</xm:f>
          </x14:formula1>
          <xm:sqref>B11:B14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3:G42"/>
  <sheetViews>
    <sheetView workbookViewId="0">
      <selection activeCell="E7" sqref="E7"/>
    </sheetView>
  </sheetViews>
  <sheetFormatPr defaultColWidth="8.85546875" defaultRowHeight="15"/>
  <cols>
    <col min="1" max="1" width="2.140625" style="63" customWidth="1"/>
    <col min="2" max="2" width="25.42578125" style="63" customWidth="1"/>
    <col min="3" max="3" width="13.7109375" style="63" customWidth="1"/>
    <col min="4" max="4" width="21.85546875" style="63" customWidth="1"/>
    <col min="5" max="5" width="28.28515625" style="63" customWidth="1"/>
    <col min="6" max="6" width="116.42578125" style="96" customWidth="1"/>
    <col min="7" max="16384" width="8.85546875" style="63"/>
  </cols>
  <sheetData>
    <row r="3" spans="1:6" ht="30">
      <c r="B3" s="350"/>
      <c r="C3" s="350"/>
      <c r="D3" s="350" t="s">
        <v>347</v>
      </c>
      <c r="E3" s="175" t="s">
        <v>348</v>
      </c>
    </row>
    <row r="4" spans="1:6" ht="45">
      <c r="B4" s="355" t="s">
        <v>430</v>
      </c>
      <c r="C4" s="351"/>
      <c r="D4" s="352" t="s">
        <v>352</v>
      </c>
      <c r="E4" s="353" t="s">
        <v>252</v>
      </c>
      <c r="F4" s="354" t="s">
        <v>334</v>
      </c>
    </row>
    <row r="5" spans="1:6">
      <c r="B5" s="64" t="s">
        <v>60</v>
      </c>
      <c r="D5" s="65" t="s">
        <v>7</v>
      </c>
      <c r="E5" s="65" t="s">
        <v>7</v>
      </c>
      <c r="F5" s="96" t="s">
        <v>412</v>
      </c>
    </row>
    <row r="6" spans="1:6">
      <c r="A6" s="63" t="s">
        <v>332</v>
      </c>
      <c r="B6" s="64" t="s">
        <v>74</v>
      </c>
      <c r="D6" s="63" t="s">
        <v>75</v>
      </c>
      <c r="E6" s="66" t="s">
        <v>75</v>
      </c>
      <c r="F6" s="96" t="s">
        <v>429</v>
      </c>
    </row>
    <row r="7" spans="1:6">
      <c r="B7" s="64" t="s">
        <v>254</v>
      </c>
      <c r="D7" s="63" t="s">
        <v>75</v>
      </c>
      <c r="E7" s="65" t="s">
        <v>77</v>
      </c>
    </row>
    <row r="8" spans="1:6">
      <c r="B8" s="64" t="s">
        <v>67</v>
      </c>
      <c r="D8" s="63" t="s">
        <v>75</v>
      </c>
      <c r="E8" s="66" t="s">
        <v>129</v>
      </c>
    </row>
    <row r="9" spans="1:6">
      <c r="B9" s="64" t="s">
        <v>237</v>
      </c>
      <c r="D9" s="63" t="s">
        <v>75</v>
      </c>
      <c r="E9" s="65" t="s">
        <v>78</v>
      </c>
    </row>
    <row r="10" spans="1:6">
      <c r="A10" s="63" t="s">
        <v>332</v>
      </c>
      <c r="B10" s="64" t="s">
        <v>68</v>
      </c>
      <c r="D10" s="65" t="s">
        <v>75</v>
      </c>
      <c r="E10" s="65" t="s">
        <v>80</v>
      </c>
    </row>
    <row r="11" spans="1:6">
      <c r="D11" s="96" t="s">
        <v>320</v>
      </c>
      <c r="E11" s="65" t="s">
        <v>63</v>
      </c>
      <c r="F11" s="96" t="s">
        <v>421</v>
      </c>
    </row>
    <row r="12" spans="1:6" ht="14.1" customHeight="1">
      <c r="A12" s="63" t="s">
        <v>332</v>
      </c>
      <c r="B12" s="385" t="s">
        <v>333</v>
      </c>
      <c r="D12" s="96" t="s">
        <v>320</v>
      </c>
      <c r="E12" s="65" t="s">
        <v>79</v>
      </c>
    </row>
    <row r="13" spans="1:6">
      <c r="B13" s="385"/>
      <c r="D13" s="63" t="s">
        <v>323</v>
      </c>
      <c r="E13" s="66" t="s">
        <v>137</v>
      </c>
      <c r="F13" s="96" t="s">
        <v>335</v>
      </c>
    </row>
    <row r="14" spans="1:6">
      <c r="B14" s="385"/>
      <c r="D14" s="67" t="s">
        <v>81</v>
      </c>
      <c r="E14" s="67" t="s">
        <v>81</v>
      </c>
      <c r="F14" s="96" t="s">
        <v>340</v>
      </c>
    </row>
    <row r="15" spans="1:6">
      <c r="B15" s="385"/>
      <c r="D15" s="96" t="s">
        <v>322</v>
      </c>
      <c r="E15" s="65" t="s">
        <v>135</v>
      </c>
      <c r="F15" s="96" t="s">
        <v>324</v>
      </c>
    </row>
    <row r="16" spans="1:6">
      <c r="B16" s="385"/>
      <c r="D16" s="96" t="s">
        <v>322</v>
      </c>
      <c r="E16" s="66" t="s">
        <v>132</v>
      </c>
    </row>
    <row r="17" spans="2:7">
      <c r="B17" s="195"/>
      <c r="D17" s="96" t="s">
        <v>322</v>
      </c>
      <c r="E17" s="65" t="s">
        <v>125</v>
      </c>
      <c r="F17" s="96" t="s">
        <v>326</v>
      </c>
      <c r="G17" s="96"/>
    </row>
    <row r="18" spans="2:7">
      <c r="B18" s="195"/>
      <c r="D18" s="96" t="s">
        <v>322</v>
      </c>
      <c r="E18" s="65" t="s">
        <v>126</v>
      </c>
      <c r="F18" s="96" t="s">
        <v>326</v>
      </c>
    </row>
    <row r="19" spans="2:7">
      <c r="D19" s="96" t="s">
        <v>322</v>
      </c>
      <c r="E19" s="66" t="s">
        <v>151</v>
      </c>
    </row>
    <row r="20" spans="2:7">
      <c r="D20" s="96" t="s">
        <v>322</v>
      </c>
      <c r="E20" s="65" t="s">
        <v>169</v>
      </c>
      <c r="F20" s="96" t="s">
        <v>325</v>
      </c>
    </row>
    <row r="21" spans="2:7">
      <c r="D21" s="96" t="s">
        <v>322</v>
      </c>
      <c r="E21" s="65" t="s">
        <v>413</v>
      </c>
    </row>
    <row r="22" spans="2:7">
      <c r="D22" s="65" t="s">
        <v>76</v>
      </c>
      <c r="E22" s="65" t="s">
        <v>76</v>
      </c>
    </row>
    <row r="23" spans="2:7">
      <c r="B23" s="356" t="s">
        <v>259</v>
      </c>
      <c r="D23" s="65" t="s">
        <v>261</v>
      </c>
      <c r="E23" s="65" t="s">
        <v>115</v>
      </c>
      <c r="F23" s="96" t="s">
        <v>381</v>
      </c>
    </row>
    <row r="24" spans="2:7">
      <c r="B24" s="63" t="s">
        <v>234</v>
      </c>
      <c r="D24" s="65" t="s">
        <v>261</v>
      </c>
      <c r="E24" s="66" t="s">
        <v>159</v>
      </c>
      <c r="F24" s="96" t="s">
        <v>382</v>
      </c>
    </row>
    <row r="25" spans="2:7">
      <c r="B25" s="63" t="s">
        <v>235</v>
      </c>
      <c r="D25" s="65" t="s">
        <v>261</v>
      </c>
      <c r="E25" s="65" t="s">
        <v>161</v>
      </c>
    </row>
    <row r="26" spans="2:7">
      <c r="B26" s="63" t="s">
        <v>236</v>
      </c>
      <c r="D26" s="65" t="s">
        <v>261</v>
      </c>
      <c r="E26" s="65" t="s">
        <v>163</v>
      </c>
    </row>
    <row r="27" spans="2:7">
      <c r="B27" s="63" t="s">
        <v>238</v>
      </c>
      <c r="D27" s="65" t="s">
        <v>261</v>
      </c>
      <c r="E27" s="66" t="s">
        <v>165</v>
      </c>
    </row>
    <row r="28" spans="2:7">
      <c r="B28" s="63" t="s">
        <v>237</v>
      </c>
      <c r="D28" s="65" t="s">
        <v>261</v>
      </c>
      <c r="E28" s="65" t="s">
        <v>167</v>
      </c>
    </row>
    <row r="29" spans="2:7">
      <c r="B29" s="63" t="s">
        <v>5</v>
      </c>
      <c r="D29" s="65" t="s">
        <v>261</v>
      </c>
      <c r="E29" s="65" t="s">
        <v>83</v>
      </c>
    </row>
    <row r="30" spans="2:7">
      <c r="B30" s="63" t="s">
        <v>239</v>
      </c>
      <c r="D30" s="65" t="s">
        <v>61</v>
      </c>
      <c r="E30" s="65" t="s">
        <v>61</v>
      </c>
    </row>
    <row r="31" spans="2:7">
      <c r="B31" s="63" t="s">
        <v>70</v>
      </c>
      <c r="D31" s="96" t="s">
        <v>18</v>
      </c>
      <c r="E31" s="65" t="s">
        <v>112</v>
      </c>
      <c r="F31" s="96" t="s">
        <v>338</v>
      </c>
    </row>
    <row r="32" spans="2:7">
      <c r="B32" s="63" t="s">
        <v>240</v>
      </c>
      <c r="D32" s="174" t="s">
        <v>18</v>
      </c>
      <c r="E32" s="65" t="s">
        <v>218</v>
      </c>
      <c r="F32" s="96" t="s">
        <v>336</v>
      </c>
    </row>
    <row r="33" spans="2:6">
      <c r="B33" s="63" t="s">
        <v>241</v>
      </c>
      <c r="D33" s="96" t="s">
        <v>18</v>
      </c>
      <c r="E33" s="66" t="s">
        <v>318</v>
      </c>
    </row>
    <row r="34" spans="2:6">
      <c r="B34" s="63" t="s">
        <v>242</v>
      </c>
      <c r="D34" s="96" t="s">
        <v>17</v>
      </c>
      <c r="E34" s="66" t="s">
        <v>181</v>
      </c>
    </row>
    <row r="35" spans="2:6">
      <c r="B35" s="63" t="s">
        <v>244</v>
      </c>
      <c r="D35" s="96" t="s">
        <v>321</v>
      </c>
      <c r="E35" s="65" t="s">
        <v>62</v>
      </c>
      <c r="F35" s="96" t="s">
        <v>316</v>
      </c>
    </row>
    <row r="36" spans="2:6">
      <c r="B36" s="63" t="s">
        <v>243</v>
      </c>
      <c r="D36" s="96" t="s">
        <v>321</v>
      </c>
      <c r="E36" s="65" t="s">
        <v>173</v>
      </c>
      <c r="F36" s="96" t="s">
        <v>317</v>
      </c>
    </row>
    <row r="37" spans="2:6">
      <c r="D37" s="63" t="s">
        <v>321</v>
      </c>
      <c r="E37" s="66" t="s">
        <v>119</v>
      </c>
      <c r="F37" s="96" t="s">
        <v>337</v>
      </c>
    </row>
    <row r="38" spans="2:6">
      <c r="D38" s="65" t="s">
        <v>328</v>
      </c>
      <c r="E38" s="65" t="s">
        <v>82</v>
      </c>
      <c r="F38" s="96" t="s">
        <v>339</v>
      </c>
    </row>
    <row r="39" spans="2:6">
      <c r="E39" s="96"/>
    </row>
    <row r="40" spans="2:6">
      <c r="E40" s="96"/>
    </row>
    <row r="41" spans="2:6">
      <c r="E41" s="96"/>
    </row>
    <row r="42" spans="2:6">
      <c r="E42" s="96"/>
    </row>
  </sheetData>
  <sortState ref="D3:F36">
    <sortCondition ref="D3:D36"/>
  </sortState>
  <mergeCells count="1">
    <mergeCell ref="B12:B16"/>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B3:K53"/>
  <sheetViews>
    <sheetView workbookViewId="0">
      <selection activeCell="H17" sqref="H17"/>
    </sheetView>
  </sheetViews>
  <sheetFormatPr defaultColWidth="11.42578125" defaultRowHeight="15"/>
  <cols>
    <col min="2" max="2" width="31.85546875" customWidth="1"/>
    <col min="3" max="3" width="11" customWidth="1"/>
    <col min="5" max="5" width="12.7109375" customWidth="1"/>
    <col min="7" max="7" width="12.140625" customWidth="1"/>
    <col min="8" max="8" width="11" customWidth="1"/>
    <col min="9" max="9" width="80.28515625" customWidth="1"/>
  </cols>
  <sheetData>
    <row r="3" spans="2:11" ht="21">
      <c r="B3" s="216" t="s">
        <v>52</v>
      </c>
      <c r="C3" s="3"/>
      <c r="D3" s="3"/>
      <c r="E3" s="3"/>
      <c r="F3" s="3"/>
      <c r="G3" s="3"/>
      <c r="H3" s="3"/>
    </row>
    <row r="4" spans="2:11" s="289" customFormat="1" ht="21">
      <c r="B4" s="309"/>
      <c r="C4" s="3"/>
      <c r="D4" s="3"/>
      <c r="E4" s="3"/>
      <c r="F4" s="3"/>
      <c r="G4" s="3"/>
      <c r="H4" s="3"/>
    </row>
    <row r="5" spans="2:11">
      <c r="B5" s="386" t="s">
        <v>312</v>
      </c>
      <c r="C5" s="386"/>
      <c r="D5" s="3"/>
      <c r="E5" s="387" t="s">
        <v>311</v>
      </c>
      <c r="F5" s="387"/>
      <c r="G5" s="3"/>
      <c r="H5" s="3"/>
      <c r="I5" s="308" t="s">
        <v>287</v>
      </c>
      <c r="J5" s="81"/>
      <c r="K5" s="81"/>
    </row>
    <row r="6" spans="2:11">
      <c r="B6" s="217" t="s">
        <v>358</v>
      </c>
      <c r="C6" s="218">
        <v>625</v>
      </c>
      <c r="D6" s="3"/>
      <c r="E6" s="223" t="s">
        <v>45</v>
      </c>
      <c r="F6" s="224">
        <v>1</v>
      </c>
      <c r="G6" s="3"/>
      <c r="H6" s="3"/>
      <c r="I6" s="143" t="s">
        <v>306</v>
      </c>
      <c r="J6" s="3"/>
      <c r="K6" s="3"/>
    </row>
    <row r="7" spans="2:11">
      <c r="B7" s="219" t="s">
        <v>359</v>
      </c>
      <c r="C7" s="220">
        <v>2.4819999999999998E-2</v>
      </c>
      <c r="D7" s="3"/>
      <c r="E7" s="223" t="s">
        <v>46</v>
      </c>
      <c r="F7" s="224">
        <v>21</v>
      </c>
      <c r="G7" s="3" t="s">
        <v>407</v>
      </c>
      <c r="H7" s="3"/>
      <c r="I7" s="143" t="s">
        <v>307</v>
      </c>
      <c r="J7" s="3"/>
      <c r="K7" s="3"/>
    </row>
    <row r="8" spans="2:11">
      <c r="B8" s="221" t="s">
        <v>360</v>
      </c>
      <c r="C8" s="222">
        <v>1.119E-2</v>
      </c>
      <c r="D8" s="3"/>
      <c r="E8" s="223" t="s">
        <v>47</v>
      </c>
      <c r="F8" s="224">
        <v>310</v>
      </c>
      <c r="G8" s="3" t="s">
        <v>408</v>
      </c>
      <c r="H8" s="3"/>
      <c r="I8" s="143" t="s">
        <v>308</v>
      </c>
      <c r="J8" s="3"/>
      <c r="K8" s="3"/>
    </row>
    <row r="9" spans="2:11">
      <c r="B9" s="217" t="s">
        <v>357</v>
      </c>
      <c r="C9" s="218">
        <v>53.02</v>
      </c>
      <c r="D9" s="3"/>
      <c r="G9" s="3"/>
      <c r="H9" s="3"/>
      <c r="I9" s="144" t="s">
        <v>309</v>
      </c>
      <c r="J9" s="3"/>
      <c r="K9" s="3"/>
    </row>
    <row r="10" spans="2:11">
      <c r="B10" s="219" t="s">
        <v>355</v>
      </c>
      <c r="C10" s="220">
        <v>5.0000000000000001E-3</v>
      </c>
      <c r="D10" s="3"/>
      <c r="E10" s="3"/>
      <c r="F10" s="3"/>
      <c r="G10" s="3"/>
      <c r="H10" s="3"/>
      <c r="I10" s="144" t="s">
        <v>310</v>
      </c>
      <c r="J10" s="3"/>
      <c r="K10" s="3"/>
    </row>
    <row r="11" spans="2:11">
      <c r="B11" s="221" t="s">
        <v>356</v>
      </c>
      <c r="C11" s="222">
        <v>1E-4</v>
      </c>
      <c r="D11" s="3"/>
      <c r="H11" s="3"/>
      <c r="I11" s="3"/>
      <c r="J11" s="3"/>
      <c r="K11" s="3"/>
    </row>
    <row r="12" spans="2:11">
      <c r="B12" s="217" t="s">
        <v>354</v>
      </c>
      <c r="C12" s="218">
        <v>61.46</v>
      </c>
      <c r="D12" s="3"/>
      <c r="E12" s="225" t="s">
        <v>361</v>
      </c>
      <c r="F12" s="225">
        <v>1E-3</v>
      </c>
      <c r="G12" t="s">
        <v>402</v>
      </c>
      <c r="H12" s="3"/>
      <c r="I12" s="145" t="s">
        <v>288</v>
      </c>
      <c r="J12" s="3"/>
      <c r="K12" s="3"/>
    </row>
    <row r="13" spans="2:11">
      <c r="B13" s="219" t="s">
        <v>409</v>
      </c>
      <c r="C13" s="307">
        <v>3</v>
      </c>
      <c r="D13" s="3"/>
      <c r="E13" s="225" t="s">
        <v>411</v>
      </c>
      <c r="F13">
        <v>9.9999999999999995E-7</v>
      </c>
      <c r="G13" t="s">
        <v>402</v>
      </c>
      <c r="H13" s="3"/>
      <c r="I13" s="23" t="s">
        <v>289</v>
      </c>
      <c r="J13" s="3"/>
      <c r="K13" s="3"/>
    </row>
    <row r="14" spans="2:11">
      <c r="B14" s="221" t="s">
        <v>410</v>
      </c>
      <c r="C14" s="222">
        <v>0.6</v>
      </c>
      <c r="D14" s="3"/>
      <c r="E14" s="225" t="s">
        <v>403</v>
      </c>
      <c r="F14">
        <v>1E-3</v>
      </c>
      <c r="G14" t="s">
        <v>404</v>
      </c>
      <c r="H14" s="3"/>
      <c r="I14" s="3" t="s">
        <v>290</v>
      </c>
      <c r="J14" s="3"/>
      <c r="K14" s="3"/>
    </row>
    <row r="15" spans="2:11">
      <c r="B15" s="217" t="s">
        <v>313</v>
      </c>
      <c r="C15" s="218">
        <v>10.199999999999999</v>
      </c>
      <c r="D15" s="3"/>
      <c r="E15" s="225" t="s">
        <v>405</v>
      </c>
      <c r="F15">
        <v>2204.62</v>
      </c>
      <c r="G15" t="s">
        <v>406</v>
      </c>
      <c r="H15" s="3"/>
    </row>
    <row r="16" spans="2:11">
      <c r="B16" s="219" t="s">
        <v>314</v>
      </c>
      <c r="C16" s="220">
        <v>1.5E-3</v>
      </c>
      <c r="D16" s="3"/>
      <c r="E16" s="3"/>
      <c r="F16" s="3"/>
      <c r="G16" s="3"/>
      <c r="H16" s="3"/>
    </row>
    <row r="17" spans="2:8">
      <c r="B17" s="221" t="s">
        <v>315</v>
      </c>
      <c r="C17" s="222">
        <v>1E-4</v>
      </c>
      <c r="D17" s="3"/>
      <c r="E17" s="3"/>
      <c r="F17" s="3"/>
      <c r="G17" s="3"/>
      <c r="H17" s="3"/>
    </row>
    <row r="18" spans="2:8">
      <c r="B18" s="20"/>
      <c r="C18" s="3"/>
      <c r="D18" s="3"/>
      <c r="E18" s="3"/>
      <c r="F18" s="3"/>
      <c r="G18" s="3"/>
      <c r="H18" s="3"/>
    </row>
    <row r="19" spans="2:8">
      <c r="B19" s="20"/>
      <c r="C19" s="3"/>
      <c r="D19" s="3"/>
      <c r="E19" s="3"/>
      <c r="F19" s="3"/>
      <c r="G19" s="3"/>
      <c r="H19" s="3"/>
    </row>
    <row r="20" spans="2:8">
      <c r="B20" s="21" t="s">
        <v>53</v>
      </c>
      <c r="C20" s="3"/>
      <c r="D20" s="3"/>
      <c r="E20" s="3"/>
      <c r="F20" s="3"/>
      <c r="G20" s="3"/>
      <c r="H20" s="3"/>
    </row>
    <row r="21" spans="2:8">
      <c r="B21" s="21" t="s">
        <v>54</v>
      </c>
      <c r="C21" s="3"/>
      <c r="D21" s="3"/>
      <c r="E21" s="3"/>
      <c r="F21" s="3"/>
      <c r="G21" s="3"/>
      <c r="H21" s="3"/>
    </row>
    <row r="22" spans="2:8">
      <c r="B22" s="21" t="s">
        <v>19</v>
      </c>
      <c r="C22" s="3"/>
      <c r="D22" s="3"/>
      <c r="E22" s="3"/>
      <c r="F22" s="3"/>
      <c r="G22" s="3"/>
      <c r="H22" s="3"/>
    </row>
    <row r="23" spans="2:8">
      <c r="B23" s="21" t="s">
        <v>50</v>
      </c>
      <c r="C23" s="3"/>
      <c r="D23" s="3"/>
      <c r="E23" s="3"/>
      <c r="F23" s="3"/>
      <c r="G23" s="3"/>
      <c r="H23" s="3"/>
    </row>
    <row r="24" spans="2:8">
      <c r="B24" s="21"/>
      <c r="C24" s="3"/>
      <c r="D24" s="3"/>
      <c r="E24" s="3"/>
      <c r="F24" s="3"/>
      <c r="G24" s="3"/>
      <c r="H24" s="3"/>
    </row>
    <row r="25" spans="2:8">
      <c r="B25" s="2" t="s">
        <v>420</v>
      </c>
      <c r="C25" s="3"/>
      <c r="D25" s="3"/>
      <c r="E25" s="3"/>
      <c r="F25" s="3"/>
      <c r="G25" s="3"/>
      <c r="H25" s="3"/>
    </row>
    <row r="26" spans="2:8">
      <c r="B26" s="22" t="s">
        <v>20</v>
      </c>
      <c r="C26" s="23" t="s">
        <v>21</v>
      </c>
      <c r="D26" s="23"/>
      <c r="E26" s="23"/>
      <c r="F26" s="3"/>
      <c r="G26" s="3"/>
      <c r="H26" s="3"/>
    </row>
    <row r="27" spans="2:8">
      <c r="B27" s="22" t="s">
        <v>22</v>
      </c>
      <c r="C27" s="3" t="s">
        <v>23</v>
      </c>
      <c r="D27" s="3"/>
      <c r="E27" s="3"/>
      <c r="F27" s="3"/>
      <c r="G27" s="3"/>
      <c r="H27" s="3"/>
    </row>
    <row r="28" spans="2:8">
      <c r="B28" s="22" t="s">
        <v>24</v>
      </c>
      <c r="C28" s="3" t="s">
        <v>25</v>
      </c>
      <c r="D28" s="3"/>
      <c r="E28" s="3"/>
      <c r="F28" s="3"/>
      <c r="G28" s="3"/>
      <c r="H28" s="3"/>
    </row>
    <row r="29" spans="2:8">
      <c r="B29" s="23"/>
      <c r="C29" s="3" t="s">
        <v>26</v>
      </c>
      <c r="D29" s="3"/>
      <c r="E29" s="3"/>
      <c r="F29" s="3"/>
      <c r="G29" s="3"/>
      <c r="H29" s="3"/>
    </row>
    <row r="30" spans="2:8">
      <c r="B30" s="23"/>
      <c r="C30" s="3" t="s">
        <v>27</v>
      </c>
      <c r="D30" s="3"/>
      <c r="E30" s="3"/>
      <c r="F30" s="3"/>
      <c r="G30" s="3"/>
      <c r="H30" s="3"/>
    </row>
    <row r="31" spans="2:8">
      <c r="B31" s="23"/>
      <c r="C31" s="3" t="s">
        <v>28</v>
      </c>
      <c r="D31" s="3"/>
      <c r="E31" s="3"/>
      <c r="F31" s="3"/>
      <c r="G31" s="3"/>
      <c r="H31" s="3"/>
    </row>
    <row r="32" spans="2:8">
      <c r="B32" s="23"/>
      <c r="C32" s="3" t="s">
        <v>29</v>
      </c>
      <c r="D32" s="3"/>
      <c r="E32" s="3"/>
      <c r="F32" s="3"/>
      <c r="G32" s="3"/>
      <c r="H32" s="3"/>
    </row>
    <row r="33" spans="2:8">
      <c r="B33" s="22" t="s">
        <v>30</v>
      </c>
      <c r="C33" s="23" t="s">
        <v>31</v>
      </c>
      <c r="D33" s="23"/>
      <c r="E33" s="23"/>
      <c r="F33" s="23"/>
      <c r="G33" s="23"/>
      <c r="H33" s="3"/>
    </row>
    <row r="34" spans="2:8">
      <c r="B34" s="22" t="s">
        <v>32</v>
      </c>
      <c r="C34" s="23" t="s">
        <v>33</v>
      </c>
      <c r="D34" s="3"/>
      <c r="E34" s="3"/>
      <c r="F34" s="3"/>
      <c r="G34" s="3"/>
      <c r="H34" s="3"/>
    </row>
    <row r="35" spans="2:8">
      <c r="B35" s="22" t="s">
        <v>34</v>
      </c>
      <c r="C35" s="23" t="s">
        <v>35</v>
      </c>
      <c r="D35" s="3"/>
      <c r="E35" s="3"/>
      <c r="F35" s="3"/>
      <c r="G35" s="3"/>
      <c r="H35" s="3"/>
    </row>
    <row r="36" spans="2:8">
      <c r="B36" s="3"/>
      <c r="C36" s="3" t="s">
        <v>36</v>
      </c>
      <c r="D36" s="3"/>
      <c r="E36" s="3"/>
      <c r="F36" s="3"/>
      <c r="G36" s="3"/>
      <c r="H36" s="3"/>
    </row>
    <row r="37" spans="2:8">
      <c r="B37" s="3"/>
      <c r="C37" s="3" t="s">
        <v>418</v>
      </c>
      <c r="D37" s="3"/>
      <c r="E37" s="3"/>
      <c r="F37" s="3"/>
      <c r="G37" s="3"/>
      <c r="H37" s="3"/>
    </row>
    <row r="38" spans="2:8">
      <c r="B38" s="3"/>
      <c r="C38" s="3" t="s">
        <v>419</v>
      </c>
      <c r="D38" s="3"/>
      <c r="E38" s="3"/>
      <c r="F38" s="3"/>
      <c r="G38" s="3"/>
      <c r="H38" s="3"/>
    </row>
    <row r="39" spans="2:8">
      <c r="B39" s="3"/>
      <c r="C39" s="3"/>
      <c r="D39" s="3"/>
      <c r="E39" s="3"/>
      <c r="F39" s="3"/>
      <c r="G39" s="3"/>
      <c r="H39" s="3"/>
    </row>
    <row r="40" spans="2:8">
      <c r="B40" s="3"/>
      <c r="C40" s="3"/>
      <c r="D40" s="3"/>
      <c r="E40" s="3"/>
      <c r="F40" s="3"/>
      <c r="G40" s="3"/>
      <c r="H40" s="3"/>
    </row>
    <row r="41" spans="2:8">
      <c r="B41" s="3" t="s">
        <v>37</v>
      </c>
      <c r="C41" s="3"/>
      <c r="D41" s="3"/>
      <c r="E41" s="3"/>
      <c r="F41" s="3"/>
      <c r="G41" s="3"/>
      <c r="H41" s="3"/>
    </row>
    <row r="42" spans="2:8">
      <c r="B42" s="3" t="s">
        <v>38</v>
      </c>
      <c r="C42" s="3"/>
      <c r="D42" s="3"/>
      <c r="E42" s="3"/>
      <c r="F42" s="3"/>
      <c r="G42" s="3"/>
      <c r="H42" s="3"/>
    </row>
    <row r="43" spans="2:8">
      <c r="B43" s="3" t="s">
        <v>39</v>
      </c>
      <c r="C43" s="3"/>
      <c r="D43" s="3"/>
      <c r="E43" s="3"/>
      <c r="F43" s="3"/>
      <c r="G43" s="3"/>
      <c r="H43" s="3"/>
    </row>
    <row r="44" spans="2:8">
      <c r="B44" s="3"/>
      <c r="C44" s="3"/>
      <c r="D44" s="3" t="s">
        <v>40</v>
      </c>
      <c r="E44" s="3"/>
      <c r="F44" s="3"/>
      <c r="G44" s="3"/>
      <c r="H44" s="3"/>
    </row>
    <row r="45" spans="2:8">
      <c r="B45" s="3"/>
      <c r="C45" s="3"/>
      <c r="D45" s="3"/>
      <c r="E45" s="3"/>
      <c r="F45" s="3"/>
      <c r="G45" s="3"/>
      <c r="H45" s="3"/>
    </row>
    <row r="46" spans="2:8">
      <c r="B46" s="3" t="s">
        <v>44</v>
      </c>
      <c r="C46" s="3"/>
      <c r="D46" s="3"/>
      <c r="E46" s="3"/>
      <c r="F46" s="3"/>
      <c r="G46" s="3"/>
      <c r="H46" s="3"/>
    </row>
    <row r="47" spans="2:8">
      <c r="B47" s="3"/>
      <c r="C47" s="3" t="s">
        <v>45</v>
      </c>
      <c r="D47" s="3" t="s">
        <v>46</v>
      </c>
      <c r="E47" s="3"/>
      <c r="F47" s="3" t="s">
        <v>47</v>
      </c>
      <c r="G47" s="3"/>
      <c r="H47" s="3" t="s">
        <v>41</v>
      </c>
    </row>
    <row r="48" spans="2:8">
      <c r="B48" s="3" t="s">
        <v>42</v>
      </c>
      <c r="C48" s="3">
        <v>10.15</v>
      </c>
      <c r="D48" s="3">
        <v>1.5E-3</v>
      </c>
      <c r="E48" s="3"/>
      <c r="F48" s="3">
        <v>1E-4</v>
      </c>
      <c r="G48" s="3"/>
      <c r="H48" s="3">
        <v>0.13500000000000001</v>
      </c>
    </row>
    <row r="49" spans="2:8">
      <c r="B49" s="3" t="s">
        <v>43</v>
      </c>
      <c r="C49" s="3">
        <v>10.210000000000001</v>
      </c>
      <c r="D49" s="3">
        <v>1.5E-3</v>
      </c>
      <c r="E49" s="3"/>
      <c r="F49" s="3">
        <v>1E-4</v>
      </c>
      <c r="G49" s="3"/>
      <c r="H49" s="3">
        <v>0.13800000000000001</v>
      </c>
    </row>
    <row r="50" spans="2:8">
      <c r="B50" s="3"/>
      <c r="C50" s="3" t="s">
        <v>48</v>
      </c>
      <c r="D50" s="3" t="s">
        <v>48</v>
      </c>
      <c r="E50" s="3"/>
      <c r="F50" s="3" t="s">
        <v>48</v>
      </c>
      <c r="G50" s="3"/>
      <c r="H50" s="3" t="s">
        <v>49</v>
      </c>
    </row>
    <row r="51" spans="2:8">
      <c r="B51" s="22" t="s">
        <v>51</v>
      </c>
      <c r="C51" s="3">
        <v>10.199999999999999</v>
      </c>
      <c r="D51" s="3">
        <v>1.5E-3</v>
      </c>
      <c r="E51" s="3"/>
      <c r="F51" s="3">
        <v>1E-4</v>
      </c>
      <c r="G51" s="3"/>
      <c r="H51" s="3">
        <v>0.14000000000000001</v>
      </c>
    </row>
    <row r="52" spans="2:8">
      <c r="B52" s="22"/>
      <c r="C52" s="3"/>
      <c r="D52" s="3"/>
      <c r="E52" s="3"/>
      <c r="F52" s="3"/>
      <c r="G52" s="3"/>
      <c r="H52" s="3"/>
    </row>
    <row r="53" spans="2:8">
      <c r="B53" s="3"/>
      <c r="C53" s="3"/>
      <c r="D53" s="3"/>
      <c r="E53" s="3"/>
      <c r="F53" s="3"/>
      <c r="G53" s="3"/>
      <c r="H53" s="3"/>
    </row>
  </sheetData>
  <mergeCells count="2">
    <mergeCell ref="B5:C5"/>
    <mergeCell ref="E5:F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Tables and Charts</vt:lpstr>
      <vt:lpstr>Utility Summary</vt:lpstr>
      <vt:lpstr>Utility Accts</vt:lpstr>
      <vt:lpstr>Fleet Data</vt:lpstr>
      <vt:lpstr>City Categories</vt:lpstr>
      <vt:lpstr>Reference</vt:lpstr>
    </vt:vector>
  </TitlesOfParts>
  <Company>Vanasse Hangen Brustlin,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khewitt</dc:creator>
  <cp:lastModifiedBy>Jim</cp:lastModifiedBy>
  <cp:lastPrinted>2014-02-25T19:50:32Z</cp:lastPrinted>
  <dcterms:created xsi:type="dcterms:W3CDTF">2010-11-01T01:00:56Z</dcterms:created>
  <dcterms:modified xsi:type="dcterms:W3CDTF">2014-06-05T20:10:36Z</dcterms:modified>
</cp:coreProperties>
</file>