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4526"/>
  <workbookPr autoCompressPictures="0"/>
  <bookViews>
    <workbookView xWindow="100" yWindow="1420" windowWidth="27700" windowHeight="16140" tabRatio="824" activeTab="1"/>
  </bookViews>
  <sheets>
    <sheet name="Town Categories" sheetId="30" r:id="rId1"/>
    <sheet name="Tables and Figures" sheetId="31" r:id="rId2"/>
    <sheet name="Nat Gas and Electricity" sheetId="3" r:id="rId3"/>
    <sheet name="Fuel Oil and Propane" sheetId="2" r:id="rId4"/>
    <sheet name="Vehicle Fleet" sheetId="5" r:id="rId5"/>
    <sheet name="Reference" sheetId="4" r:id="rId6"/>
    <sheet name="NG Elec KWH Annual" sheetId="13" r:id="rId7"/>
    <sheet name="NG Elec Cost Annual" sheetId="14" r:id="rId8"/>
    <sheet name="NG Nat. Gas Therms Annual" sheetId="15" r:id="rId9"/>
    <sheet name="NG Nat. Gas Cost Annual" sheetId="16" r:id="rId10"/>
    <sheet name="NG Acct Master List" sheetId="17" r:id="rId11"/>
    <sheet name="NG-Jan-Bill" sheetId="18" r:id="rId12"/>
    <sheet name="NG-Feb-Bill" sheetId="19" r:id="rId13"/>
    <sheet name="NG_Mar-Bill" sheetId="20" r:id="rId14"/>
    <sheet name="NG-Apr-Bill" sheetId="21" r:id="rId15"/>
    <sheet name="NG-May-Bill" sheetId="22" r:id="rId16"/>
    <sheet name="NG-Jun-Bill" sheetId="23" r:id="rId17"/>
    <sheet name="NG-Jul-Bill" sheetId="24" r:id="rId18"/>
    <sheet name="NG-Aug-Bill" sheetId="25" r:id="rId19"/>
    <sheet name="NG-Sept-Bill" sheetId="26" r:id="rId20"/>
    <sheet name="NG-Oct-Bill" sheetId="27" r:id="rId21"/>
    <sheet name="NG-Nov-Bill" sheetId="28" r:id="rId22"/>
    <sheet name="NG-Dec-Bill" sheetId="29" r:id="rId23"/>
  </sheets>
  <definedNames>
    <definedName name="_xlnm._FilterDatabase" localSheetId="2" hidden="1">'Nat Gas and Electricity'!$A$14:$N$108</definedName>
    <definedName name="_xlnm._FilterDatabase" localSheetId="1" hidden="1">'Tables and Figures'!$C$5:$I$9</definedName>
    <definedName name="_xlnm._FilterDatabase" localSheetId="0" hidden="1">'Town Categories'!$B$31:$G$72</definedName>
    <definedName name="A_Lighting">'Town Categories'!$G$18</definedName>
    <definedName name="Buildings_and_Other_Facilities">Reference!$D$4:$D$7</definedName>
    <definedName name="Chargeback">'Town Categories'!$B$13:$B$14</definedName>
    <definedName name="Fund_Codes">'Town Categories'!$B$18:$B$21</definedName>
    <definedName name="G_Sewer_Districts">'Town Categories'!$H$23</definedName>
    <definedName name="General_Fund">'Town Categories'!$D$18:$D$26</definedName>
    <definedName name="GSewer_Districts">'Town Categories'!$H$23</definedName>
    <definedName name="Hwy_Dept">'Town Categories'!$I$5:$I$6</definedName>
    <definedName name="Outdoor_Lighting">'Town Categories'!$F$5:$F$10</definedName>
    <definedName name="Outdoor_LightingList">'Town Categories'!$F$5:$F$10</definedName>
    <definedName name="_xlnm.Print_Area" localSheetId="22">'NG-Dec-Bill'!$A$5:$Y$99</definedName>
    <definedName name="_xlnm.Print_Area" localSheetId="21">'NG-Nov-Bill'!$A$5:$O$99</definedName>
    <definedName name="_xlnm.Print_Area" localSheetId="19">'NG-Sept-Bill'!$A$5:$Y$98</definedName>
    <definedName name="Sewer_Districts">'Town Categories'!$H$5:$H$6</definedName>
    <definedName name="Sewer_DistrictsList">'Town Categories'!$H$5:$H$6</definedName>
    <definedName name="SL_Lighting">'Town Categories'!$G$18</definedName>
    <definedName name="SL_Lighting_Fund">'Town Categories'!$G$18</definedName>
    <definedName name="Solid_Waste_Facilities">Reference!$E$4:$E$7</definedName>
    <definedName name="SP_Park_Districts">'Town Categories'!#REF!</definedName>
    <definedName name="Streetlights_and_Traffic_Signals">Reference!$F$4:$F$7</definedName>
    <definedName name="Town_Bldgs">'Town Categories'!$G$5:$G$13</definedName>
    <definedName name="Town_BldgsList">'Town Categories'!$G$5:$G$13</definedName>
    <definedName name="Waste_Water_Treatment_Facilities">Reference!$G$4:$G$7</definedName>
    <definedName name="Water_Delivery_Facilities">Reference!$H$4:$H$7</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60" i="31" l="1"/>
  <c r="F60" i="31"/>
  <c r="E60" i="31"/>
  <c r="D60" i="31"/>
  <c r="C60" i="31"/>
  <c r="D85" i="31"/>
  <c r="F85" i="31"/>
  <c r="I85" i="31"/>
  <c r="C85" i="31"/>
  <c r="E85" i="31"/>
  <c r="H85" i="31"/>
  <c r="G85" i="31"/>
  <c r="D115" i="31"/>
  <c r="F115" i="31"/>
  <c r="I115" i="31"/>
  <c r="G115" i="31"/>
  <c r="E115" i="31"/>
  <c r="C115" i="31"/>
  <c r="C114" i="31"/>
  <c r="E114" i="31"/>
  <c r="H114" i="31"/>
  <c r="L73" i="3"/>
  <c r="C37" i="31"/>
  <c r="C38" i="31"/>
  <c r="C39" i="31"/>
  <c r="C40" i="31"/>
  <c r="C41" i="31"/>
  <c r="C42" i="31"/>
  <c r="C43" i="31"/>
  <c r="D37" i="31"/>
  <c r="F37" i="31"/>
  <c r="I37" i="31"/>
  <c r="D38" i="31"/>
  <c r="F38" i="31"/>
  <c r="I38" i="31"/>
  <c r="D39" i="31"/>
  <c r="F39" i="31"/>
  <c r="I39" i="31"/>
  <c r="D40" i="31"/>
  <c r="F40" i="31"/>
  <c r="I40" i="31"/>
  <c r="D41" i="31"/>
  <c r="F41" i="31"/>
  <c r="I41" i="31"/>
  <c r="D42" i="31"/>
  <c r="F42" i="31"/>
  <c r="I42" i="31"/>
  <c r="I43" i="31"/>
  <c r="E37" i="31"/>
  <c r="H37" i="31"/>
  <c r="E38" i="31"/>
  <c r="H38" i="31"/>
  <c r="E39" i="31"/>
  <c r="H39" i="31"/>
  <c r="E40" i="31"/>
  <c r="H40" i="31"/>
  <c r="E41" i="31"/>
  <c r="H41" i="31"/>
  <c r="E42" i="31"/>
  <c r="H42" i="31"/>
  <c r="H43" i="31"/>
  <c r="Q72" i="3"/>
  <c r="R72" i="3"/>
  <c r="S72" i="3"/>
  <c r="T72" i="3"/>
  <c r="U72" i="3"/>
  <c r="V72" i="3"/>
  <c r="W72" i="3"/>
  <c r="Q73" i="3"/>
  <c r="R73" i="3"/>
  <c r="S73" i="3"/>
  <c r="T73" i="3"/>
  <c r="U73" i="3"/>
  <c r="V73" i="3"/>
  <c r="W73" i="3"/>
  <c r="Q74" i="3"/>
  <c r="R74" i="3"/>
  <c r="S74" i="3"/>
  <c r="T74" i="3"/>
  <c r="U74" i="3"/>
  <c r="V74" i="3"/>
  <c r="W74" i="3"/>
  <c r="Q75" i="3"/>
  <c r="R75" i="3"/>
  <c r="S75" i="3"/>
  <c r="T75" i="3"/>
  <c r="U75" i="3"/>
  <c r="V75" i="3"/>
  <c r="W75" i="3"/>
  <c r="Q15" i="3"/>
  <c r="R15" i="3"/>
  <c r="S15" i="3"/>
  <c r="T15" i="3"/>
  <c r="U15" i="3"/>
  <c r="V15" i="3"/>
  <c r="W15" i="3"/>
  <c r="Q16" i="3"/>
  <c r="R16" i="3"/>
  <c r="S16" i="3"/>
  <c r="T16" i="3"/>
  <c r="U16" i="3"/>
  <c r="V16" i="3"/>
  <c r="W16" i="3"/>
  <c r="Q17" i="3"/>
  <c r="R17" i="3"/>
  <c r="S17" i="3"/>
  <c r="T17" i="3"/>
  <c r="U17" i="3"/>
  <c r="V17" i="3"/>
  <c r="W17" i="3"/>
  <c r="Q18" i="3"/>
  <c r="R18" i="3"/>
  <c r="S18" i="3"/>
  <c r="T18" i="3"/>
  <c r="U18" i="3"/>
  <c r="V18" i="3"/>
  <c r="W18" i="3"/>
  <c r="Q19" i="3"/>
  <c r="R19" i="3"/>
  <c r="S19" i="3"/>
  <c r="T19" i="3"/>
  <c r="U19" i="3"/>
  <c r="V19" i="3"/>
  <c r="W19" i="3"/>
  <c r="Q20" i="3"/>
  <c r="R20" i="3"/>
  <c r="S20" i="3"/>
  <c r="T20" i="3"/>
  <c r="U20" i="3"/>
  <c r="V20" i="3"/>
  <c r="W20" i="3"/>
  <c r="Q21" i="3"/>
  <c r="R21" i="3"/>
  <c r="S21" i="3"/>
  <c r="T21" i="3"/>
  <c r="U21" i="3"/>
  <c r="V21" i="3"/>
  <c r="W21" i="3"/>
  <c r="Q22" i="3"/>
  <c r="R22" i="3"/>
  <c r="S22" i="3"/>
  <c r="T22" i="3"/>
  <c r="U22" i="3"/>
  <c r="V22" i="3"/>
  <c r="W22" i="3"/>
  <c r="Q23" i="3"/>
  <c r="R23" i="3"/>
  <c r="S23" i="3"/>
  <c r="T23" i="3"/>
  <c r="U23" i="3"/>
  <c r="V23" i="3"/>
  <c r="W23" i="3"/>
  <c r="Q24" i="3"/>
  <c r="R24" i="3"/>
  <c r="S24" i="3"/>
  <c r="T24" i="3"/>
  <c r="U24" i="3"/>
  <c r="V24" i="3"/>
  <c r="W24" i="3"/>
  <c r="Q25" i="3"/>
  <c r="R25" i="3"/>
  <c r="S25" i="3"/>
  <c r="T25" i="3"/>
  <c r="U25" i="3"/>
  <c r="V25" i="3"/>
  <c r="W25" i="3"/>
  <c r="Q26" i="3"/>
  <c r="R26" i="3"/>
  <c r="S26" i="3"/>
  <c r="T26" i="3"/>
  <c r="U26" i="3"/>
  <c r="V26" i="3"/>
  <c r="W26" i="3"/>
  <c r="Q27" i="3"/>
  <c r="R27" i="3"/>
  <c r="S27" i="3"/>
  <c r="T27" i="3"/>
  <c r="U27" i="3"/>
  <c r="V27" i="3"/>
  <c r="W27" i="3"/>
  <c r="Q28" i="3"/>
  <c r="R28" i="3"/>
  <c r="S28" i="3"/>
  <c r="T28" i="3"/>
  <c r="U28" i="3"/>
  <c r="V28" i="3"/>
  <c r="W28" i="3"/>
  <c r="Q29" i="3"/>
  <c r="R29" i="3"/>
  <c r="S29" i="3"/>
  <c r="T29" i="3"/>
  <c r="U29" i="3"/>
  <c r="V29" i="3"/>
  <c r="W29" i="3"/>
  <c r="Q30" i="3"/>
  <c r="R30" i="3"/>
  <c r="S30" i="3"/>
  <c r="T30" i="3"/>
  <c r="U30" i="3"/>
  <c r="V30" i="3"/>
  <c r="W30" i="3"/>
  <c r="Q31" i="3"/>
  <c r="R31" i="3"/>
  <c r="S31" i="3"/>
  <c r="T31" i="3"/>
  <c r="U31" i="3"/>
  <c r="V31" i="3"/>
  <c r="W31" i="3"/>
  <c r="Q32" i="3"/>
  <c r="R32" i="3"/>
  <c r="S32" i="3"/>
  <c r="T32" i="3"/>
  <c r="U32" i="3"/>
  <c r="V32" i="3"/>
  <c r="W32" i="3"/>
  <c r="Q33" i="3"/>
  <c r="R33" i="3"/>
  <c r="S33" i="3"/>
  <c r="T33" i="3"/>
  <c r="U33" i="3"/>
  <c r="V33" i="3"/>
  <c r="W33" i="3"/>
  <c r="Q34" i="3"/>
  <c r="R34" i="3"/>
  <c r="S34" i="3"/>
  <c r="T34" i="3"/>
  <c r="U34" i="3"/>
  <c r="V34" i="3"/>
  <c r="W34" i="3"/>
  <c r="Q35" i="3"/>
  <c r="R35" i="3"/>
  <c r="S35" i="3"/>
  <c r="T35" i="3"/>
  <c r="U35" i="3"/>
  <c r="V35" i="3"/>
  <c r="W35" i="3"/>
  <c r="Q36" i="3"/>
  <c r="R36" i="3"/>
  <c r="S36" i="3"/>
  <c r="T36" i="3"/>
  <c r="U36" i="3"/>
  <c r="V36" i="3"/>
  <c r="W36" i="3"/>
  <c r="Q37" i="3"/>
  <c r="R37" i="3"/>
  <c r="S37" i="3"/>
  <c r="T37" i="3"/>
  <c r="U37" i="3"/>
  <c r="V37" i="3"/>
  <c r="W37" i="3"/>
  <c r="Q38" i="3"/>
  <c r="R38" i="3"/>
  <c r="S38" i="3"/>
  <c r="T38" i="3"/>
  <c r="U38" i="3"/>
  <c r="V38" i="3"/>
  <c r="W38" i="3"/>
  <c r="Q39" i="3"/>
  <c r="R39" i="3"/>
  <c r="S39" i="3"/>
  <c r="T39" i="3"/>
  <c r="U39" i="3"/>
  <c r="V39" i="3"/>
  <c r="W39" i="3"/>
  <c r="Q40" i="3"/>
  <c r="R40" i="3"/>
  <c r="S40" i="3"/>
  <c r="T40" i="3"/>
  <c r="U40" i="3"/>
  <c r="V40" i="3"/>
  <c r="W40" i="3"/>
  <c r="Q41" i="3"/>
  <c r="R41" i="3"/>
  <c r="S41" i="3"/>
  <c r="T41" i="3"/>
  <c r="U41" i="3"/>
  <c r="V41" i="3"/>
  <c r="W41" i="3"/>
  <c r="Q42" i="3"/>
  <c r="R42" i="3"/>
  <c r="S42" i="3"/>
  <c r="T42" i="3"/>
  <c r="U42" i="3"/>
  <c r="V42" i="3"/>
  <c r="W42" i="3"/>
  <c r="Q43" i="3"/>
  <c r="R43" i="3"/>
  <c r="S43" i="3"/>
  <c r="T43" i="3"/>
  <c r="U43" i="3"/>
  <c r="V43" i="3"/>
  <c r="W43" i="3"/>
  <c r="Q44" i="3"/>
  <c r="R44" i="3"/>
  <c r="S44" i="3"/>
  <c r="T44" i="3"/>
  <c r="U44" i="3"/>
  <c r="V44" i="3"/>
  <c r="W44" i="3"/>
  <c r="Q45" i="3"/>
  <c r="R45" i="3"/>
  <c r="S45" i="3"/>
  <c r="T45" i="3"/>
  <c r="U45" i="3"/>
  <c r="V45" i="3"/>
  <c r="W45" i="3"/>
  <c r="Q46" i="3"/>
  <c r="R46" i="3"/>
  <c r="S46" i="3"/>
  <c r="T46" i="3"/>
  <c r="U46" i="3"/>
  <c r="V46" i="3"/>
  <c r="W46" i="3"/>
  <c r="Q47" i="3"/>
  <c r="R47" i="3"/>
  <c r="S47" i="3"/>
  <c r="T47" i="3"/>
  <c r="U47" i="3"/>
  <c r="V47" i="3"/>
  <c r="W47" i="3"/>
  <c r="Q48" i="3"/>
  <c r="R48" i="3"/>
  <c r="S48" i="3"/>
  <c r="T48" i="3"/>
  <c r="U48" i="3"/>
  <c r="V48" i="3"/>
  <c r="W48" i="3"/>
  <c r="Q49" i="3"/>
  <c r="R49" i="3"/>
  <c r="S49" i="3"/>
  <c r="T49" i="3"/>
  <c r="U49" i="3"/>
  <c r="V49" i="3"/>
  <c r="W49" i="3"/>
  <c r="Q50" i="3"/>
  <c r="R50" i="3"/>
  <c r="S50" i="3"/>
  <c r="T50" i="3"/>
  <c r="U50" i="3"/>
  <c r="V50" i="3"/>
  <c r="W50" i="3"/>
  <c r="Q51" i="3"/>
  <c r="R51" i="3"/>
  <c r="S51" i="3"/>
  <c r="T51" i="3"/>
  <c r="U51" i="3"/>
  <c r="V51" i="3"/>
  <c r="W51" i="3"/>
  <c r="Q52" i="3"/>
  <c r="R52" i="3"/>
  <c r="S52" i="3"/>
  <c r="T52" i="3"/>
  <c r="U52" i="3"/>
  <c r="V52" i="3"/>
  <c r="W52" i="3"/>
  <c r="Q53" i="3"/>
  <c r="R53" i="3"/>
  <c r="S53" i="3"/>
  <c r="T53" i="3"/>
  <c r="U53" i="3"/>
  <c r="V53" i="3"/>
  <c r="W53" i="3"/>
  <c r="Q54" i="3"/>
  <c r="R54" i="3"/>
  <c r="S54" i="3"/>
  <c r="T54" i="3"/>
  <c r="U54" i="3"/>
  <c r="V54" i="3"/>
  <c r="W54" i="3"/>
  <c r="Q55" i="3"/>
  <c r="R55" i="3"/>
  <c r="S55" i="3"/>
  <c r="T55" i="3"/>
  <c r="U55" i="3"/>
  <c r="V55" i="3"/>
  <c r="W55" i="3"/>
  <c r="Q56" i="3"/>
  <c r="R56" i="3"/>
  <c r="S56" i="3"/>
  <c r="T56" i="3"/>
  <c r="U56" i="3"/>
  <c r="V56" i="3"/>
  <c r="W56" i="3"/>
  <c r="Q57" i="3"/>
  <c r="R57" i="3"/>
  <c r="S57" i="3"/>
  <c r="T57" i="3"/>
  <c r="U57" i="3"/>
  <c r="V57" i="3"/>
  <c r="W57" i="3"/>
  <c r="Q58" i="3"/>
  <c r="R58" i="3"/>
  <c r="S58" i="3"/>
  <c r="T58" i="3"/>
  <c r="U58" i="3"/>
  <c r="V58" i="3"/>
  <c r="W58" i="3"/>
  <c r="Q59" i="3"/>
  <c r="R59" i="3"/>
  <c r="S59" i="3"/>
  <c r="T59" i="3"/>
  <c r="U59" i="3"/>
  <c r="V59" i="3"/>
  <c r="W59" i="3"/>
  <c r="Q60" i="3"/>
  <c r="R60" i="3"/>
  <c r="S60" i="3"/>
  <c r="T60" i="3"/>
  <c r="U60" i="3"/>
  <c r="V60" i="3"/>
  <c r="W60" i="3"/>
  <c r="Q61" i="3"/>
  <c r="R61" i="3"/>
  <c r="S61" i="3"/>
  <c r="T61" i="3"/>
  <c r="U61" i="3"/>
  <c r="V61" i="3"/>
  <c r="W61" i="3"/>
  <c r="Q62" i="3"/>
  <c r="R62" i="3"/>
  <c r="S62" i="3"/>
  <c r="T62" i="3"/>
  <c r="U62" i="3"/>
  <c r="V62" i="3"/>
  <c r="W62" i="3"/>
  <c r="Q63" i="3"/>
  <c r="R63" i="3"/>
  <c r="S63" i="3"/>
  <c r="T63" i="3"/>
  <c r="U63" i="3"/>
  <c r="V63" i="3"/>
  <c r="W63" i="3"/>
  <c r="Q64" i="3"/>
  <c r="R64" i="3"/>
  <c r="S64" i="3"/>
  <c r="T64" i="3"/>
  <c r="U64" i="3"/>
  <c r="V64" i="3"/>
  <c r="W64" i="3"/>
  <c r="Q65" i="3"/>
  <c r="R65" i="3"/>
  <c r="S65" i="3"/>
  <c r="T65" i="3"/>
  <c r="U65" i="3"/>
  <c r="V65" i="3"/>
  <c r="W65" i="3"/>
  <c r="Q66" i="3"/>
  <c r="R66" i="3"/>
  <c r="S66" i="3"/>
  <c r="T66" i="3"/>
  <c r="U66" i="3"/>
  <c r="V66" i="3"/>
  <c r="W66" i="3"/>
  <c r="Q67" i="3"/>
  <c r="R67" i="3"/>
  <c r="S67" i="3"/>
  <c r="T67" i="3"/>
  <c r="U67" i="3"/>
  <c r="V67" i="3"/>
  <c r="W67" i="3"/>
  <c r="Q68" i="3"/>
  <c r="R68" i="3"/>
  <c r="S68" i="3"/>
  <c r="T68" i="3"/>
  <c r="U68" i="3"/>
  <c r="V68" i="3"/>
  <c r="W68" i="3"/>
  <c r="Q69" i="3"/>
  <c r="R69" i="3"/>
  <c r="S69" i="3"/>
  <c r="T69" i="3"/>
  <c r="U69" i="3"/>
  <c r="V69" i="3"/>
  <c r="W69" i="3"/>
  <c r="Q70" i="3"/>
  <c r="R70" i="3"/>
  <c r="S70" i="3"/>
  <c r="T70" i="3"/>
  <c r="U70" i="3"/>
  <c r="V70" i="3"/>
  <c r="W70" i="3"/>
  <c r="Q71" i="3"/>
  <c r="R71" i="3"/>
  <c r="S71" i="3"/>
  <c r="T71" i="3"/>
  <c r="U71" i="3"/>
  <c r="V71" i="3"/>
  <c r="W71" i="3"/>
  <c r="Q76" i="3"/>
  <c r="R76" i="3"/>
  <c r="S76" i="3"/>
  <c r="T76" i="3"/>
  <c r="U76" i="3"/>
  <c r="V76" i="3"/>
  <c r="W76" i="3"/>
  <c r="Q77" i="3"/>
  <c r="R77" i="3"/>
  <c r="S77" i="3"/>
  <c r="T77" i="3"/>
  <c r="U77" i="3"/>
  <c r="V77" i="3"/>
  <c r="W77" i="3"/>
  <c r="Q78" i="3"/>
  <c r="R78" i="3"/>
  <c r="S78" i="3"/>
  <c r="T78" i="3"/>
  <c r="U78" i="3"/>
  <c r="V78" i="3"/>
  <c r="W78" i="3"/>
  <c r="Q79" i="3"/>
  <c r="R79" i="3"/>
  <c r="S79" i="3"/>
  <c r="T79" i="3"/>
  <c r="U79" i="3"/>
  <c r="V79" i="3"/>
  <c r="W79" i="3"/>
  <c r="Q80" i="3"/>
  <c r="R80" i="3"/>
  <c r="S80" i="3"/>
  <c r="T80" i="3"/>
  <c r="U80" i="3"/>
  <c r="V80" i="3"/>
  <c r="W80" i="3"/>
  <c r="Q81" i="3"/>
  <c r="R81" i="3"/>
  <c r="S81" i="3"/>
  <c r="T81" i="3"/>
  <c r="U81" i="3"/>
  <c r="V81" i="3"/>
  <c r="W81" i="3"/>
  <c r="Q82" i="3"/>
  <c r="R82" i="3"/>
  <c r="S82" i="3"/>
  <c r="T82" i="3"/>
  <c r="U82" i="3"/>
  <c r="V82" i="3"/>
  <c r="W82" i="3"/>
  <c r="Q83" i="3"/>
  <c r="R83" i="3"/>
  <c r="S83" i="3"/>
  <c r="T83" i="3"/>
  <c r="U83" i="3"/>
  <c r="V83" i="3"/>
  <c r="W83" i="3"/>
  <c r="Q84" i="3"/>
  <c r="R84" i="3"/>
  <c r="S84" i="3"/>
  <c r="T84" i="3"/>
  <c r="U84" i="3"/>
  <c r="V84" i="3"/>
  <c r="W84" i="3"/>
  <c r="Q85" i="3"/>
  <c r="R85" i="3"/>
  <c r="S85" i="3"/>
  <c r="T85" i="3"/>
  <c r="U85" i="3"/>
  <c r="V85" i="3"/>
  <c r="W85" i="3"/>
  <c r="Q86" i="3"/>
  <c r="R86" i="3"/>
  <c r="S86" i="3"/>
  <c r="T86" i="3"/>
  <c r="U86" i="3"/>
  <c r="V86" i="3"/>
  <c r="W86" i="3"/>
  <c r="Q87" i="3"/>
  <c r="R87" i="3"/>
  <c r="S87" i="3"/>
  <c r="T87" i="3"/>
  <c r="U87" i="3"/>
  <c r="V87" i="3"/>
  <c r="W87" i="3"/>
  <c r="Q88" i="3"/>
  <c r="R88" i="3"/>
  <c r="S88" i="3"/>
  <c r="T88" i="3"/>
  <c r="U88" i="3"/>
  <c r="V88" i="3"/>
  <c r="W88" i="3"/>
  <c r="Q89" i="3"/>
  <c r="R89" i="3"/>
  <c r="S89" i="3"/>
  <c r="T89" i="3"/>
  <c r="U89" i="3"/>
  <c r="V89" i="3"/>
  <c r="W89" i="3"/>
  <c r="Q90" i="3"/>
  <c r="R90" i="3"/>
  <c r="S90" i="3"/>
  <c r="T90" i="3"/>
  <c r="U90" i="3"/>
  <c r="V90" i="3"/>
  <c r="W90" i="3"/>
  <c r="Q91" i="3"/>
  <c r="R91" i="3"/>
  <c r="S91" i="3"/>
  <c r="T91" i="3"/>
  <c r="U91" i="3"/>
  <c r="V91" i="3"/>
  <c r="W91" i="3"/>
  <c r="Q92" i="3"/>
  <c r="R92" i="3"/>
  <c r="S92" i="3"/>
  <c r="T92" i="3"/>
  <c r="U92" i="3"/>
  <c r="V92" i="3"/>
  <c r="W92" i="3"/>
  <c r="Q93" i="3"/>
  <c r="R93" i="3"/>
  <c r="S93" i="3"/>
  <c r="T93" i="3"/>
  <c r="U93" i="3"/>
  <c r="V93" i="3"/>
  <c r="W93" i="3"/>
  <c r="Q94" i="3"/>
  <c r="R94" i="3"/>
  <c r="S94" i="3"/>
  <c r="T94" i="3"/>
  <c r="U94" i="3"/>
  <c r="V94" i="3"/>
  <c r="W94" i="3"/>
  <c r="Q95" i="3"/>
  <c r="R95" i="3"/>
  <c r="S95" i="3"/>
  <c r="T95" i="3"/>
  <c r="U95" i="3"/>
  <c r="V95" i="3"/>
  <c r="W95" i="3"/>
  <c r="Q96" i="3"/>
  <c r="R96" i="3"/>
  <c r="S96" i="3"/>
  <c r="T96" i="3"/>
  <c r="U96" i="3"/>
  <c r="V96" i="3"/>
  <c r="W96" i="3"/>
  <c r="Q97" i="3"/>
  <c r="R97" i="3"/>
  <c r="S97" i="3"/>
  <c r="T97" i="3"/>
  <c r="U97" i="3"/>
  <c r="V97" i="3"/>
  <c r="W97" i="3"/>
  <c r="Q98" i="3"/>
  <c r="R98" i="3"/>
  <c r="S98" i="3"/>
  <c r="T98" i="3"/>
  <c r="U98" i="3"/>
  <c r="V98" i="3"/>
  <c r="W98" i="3"/>
  <c r="Q99" i="3"/>
  <c r="R99" i="3"/>
  <c r="S99" i="3"/>
  <c r="T99" i="3"/>
  <c r="U99" i="3"/>
  <c r="V99" i="3"/>
  <c r="W99" i="3"/>
  <c r="Q100" i="3"/>
  <c r="R100" i="3"/>
  <c r="S100" i="3"/>
  <c r="T100" i="3"/>
  <c r="U100" i="3"/>
  <c r="V100" i="3"/>
  <c r="W100" i="3"/>
  <c r="Q101" i="3"/>
  <c r="R101" i="3"/>
  <c r="S101" i="3"/>
  <c r="T101" i="3"/>
  <c r="U101" i="3"/>
  <c r="V101" i="3"/>
  <c r="W101" i="3"/>
  <c r="Q102" i="3"/>
  <c r="R102" i="3"/>
  <c r="S102" i="3"/>
  <c r="T102" i="3"/>
  <c r="U102" i="3"/>
  <c r="V102" i="3"/>
  <c r="W102" i="3"/>
  <c r="Q103" i="3"/>
  <c r="R103" i="3"/>
  <c r="S103" i="3"/>
  <c r="T103" i="3"/>
  <c r="U103" i="3"/>
  <c r="V103" i="3"/>
  <c r="W103" i="3"/>
  <c r="Q104" i="3"/>
  <c r="R104" i="3"/>
  <c r="S104" i="3"/>
  <c r="T104" i="3"/>
  <c r="U104" i="3"/>
  <c r="V104" i="3"/>
  <c r="W104" i="3"/>
  <c r="Q105" i="3"/>
  <c r="R105" i="3"/>
  <c r="S105" i="3"/>
  <c r="T105" i="3"/>
  <c r="U105" i="3"/>
  <c r="V105" i="3"/>
  <c r="W105" i="3"/>
  <c r="Q106" i="3"/>
  <c r="R106" i="3"/>
  <c r="S106" i="3"/>
  <c r="T106" i="3"/>
  <c r="U106" i="3"/>
  <c r="V106" i="3"/>
  <c r="W106" i="3"/>
  <c r="Q107" i="3"/>
  <c r="R107" i="3"/>
  <c r="S107" i="3"/>
  <c r="T107" i="3"/>
  <c r="U107" i="3"/>
  <c r="V107" i="3"/>
  <c r="W107" i="3"/>
  <c r="Q108" i="3"/>
  <c r="R108" i="3"/>
  <c r="S108" i="3"/>
  <c r="T108" i="3"/>
  <c r="U108" i="3"/>
  <c r="V108" i="3"/>
  <c r="W108" i="3"/>
  <c r="G37" i="31"/>
  <c r="G38" i="31"/>
  <c r="G39" i="31"/>
  <c r="G40" i="31"/>
  <c r="G41" i="31"/>
  <c r="G42" i="31"/>
  <c r="G43" i="31"/>
  <c r="F43" i="31"/>
  <c r="E43" i="31"/>
  <c r="D43" i="31"/>
  <c r="C27" i="31"/>
  <c r="C28" i="31"/>
  <c r="C29" i="31"/>
  <c r="C30" i="31"/>
  <c r="C31" i="31"/>
  <c r="C32" i="31"/>
  <c r="C33" i="31"/>
  <c r="C15" i="31"/>
  <c r="C16" i="31"/>
  <c r="C17" i="31"/>
  <c r="C18" i="31"/>
  <c r="C7" i="31"/>
  <c r="C8" i="31"/>
  <c r="C9" i="31"/>
  <c r="C10" i="31"/>
  <c r="D27" i="31"/>
  <c r="F27" i="31"/>
  <c r="I27" i="31"/>
  <c r="D28" i="31"/>
  <c r="F28" i="31"/>
  <c r="I28" i="31"/>
  <c r="D29" i="31"/>
  <c r="F29" i="31"/>
  <c r="I29" i="31"/>
  <c r="D30" i="31"/>
  <c r="F30" i="31"/>
  <c r="I30" i="31"/>
  <c r="D31" i="31"/>
  <c r="F31" i="31"/>
  <c r="I31" i="31"/>
  <c r="D32" i="31"/>
  <c r="F32" i="31"/>
  <c r="I32" i="31"/>
  <c r="I33" i="31"/>
  <c r="E27" i="31"/>
  <c r="H27" i="31"/>
  <c r="E28" i="31"/>
  <c r="H28" i="31"/>
  <c r="E29" i="31"/>
  <c r="H29" i="31"/>
  <c r="E30" i="31"/>
  <c r="H30" i="31"/>
  <c r="E31" i="31"/>
  <c r="H31" i="31"/>
  <c r="E32" i="31"/>
  <c r="H32" i="31"/>
  <c r="H33" i="31"/>
  <c r="G27" i="31"/>
  <c r="G28" i="31"/>
  <c r="G29" i="31"/>
  <c r="G30" i="31"/>
  <c r="G31" i="31"/>
  <c r="G32" i="31"/>
  <c r="G33" i="31"/>
  <c r="F33" i="31"/>
  <c r="E33" i="31"/>
  <c r="D33" i="31"/>
  <c r="G49" i="31"/>
  <c r="G50" i="31"/>
  <c r="G51" i="31"/>
  <c r="G52" i="31"/>
  <c r="G53" i="31"/>
  <c r="G54" i="31"/>
  <c r="G55" i="31"/>
  <c r="G56" i="31"/>
  <c r="G57" i="31"/>
  <c r="G58" i="31"/>
  <c r="G59" i="31"/>
  <c r="G61" i="31"/>
  <c r="G62" i="31"/>
  <c r="G63" i="31"/>
  <c r="G64" i="31"/>
  <c r="G65" i="31"/>
  <c r="G66" i="31"/>
  <c r="G67" i="31"/>
  <c r="G68" i="31"/>
  <c r="G69" i="31"/>
  <c r="G70" i="31"/>
  <c r="G71" i="31"/>
  <c r="G72" i="31"/>
  <c r="G73" i="31"/>
  <c r="D169" i="31"/>
  <c r="T110" i="3"/>
  <c r="U110" i="3"/>
  <c r="V110" i="3"/>
  <c r="V112" i="3"/>
  <c r="D170" i="31"/>
  <c r="D171" i="31"/>
  <c r="Q110" i="3"/>
  <c r="R110" i="3"/>
  <c r="S110" i="3"/>
  <c r="S112" i="3"/>
  <c r="D172" i="31"/>
  <c r="D175" i="31"/>
  <c r="G74" i="31"/>
  <c r="O108" i="3"/>
  <c r="O106" i="3"/>
  <c r="O100" i="3"/>
  <c r="O98" i="3"/>
  <c r="O97" i="3"/>
  <c r="O96" i="3"/>
  <c r="O92" i="3"/>
  <c r="O86" i="3"/>
  <c r="O85" i="3"/>
  <c r="O83" i="3"/>
  <c r="O77" i="3"/>
  <c r="O76" i="3"/>
  <c r="O75" i="3"/>
  <c r="O74" i="3"/>
  <c r="O72" i="3"/>
  <c r="O68" i="3"/>
  <c r="O67" i="3"/>
  <c r="O65" i="3"/>
  <c r="O63" i="3"/>
  <c r="O57" i="3"/>
  <c r="K16" i="3"/>
  <c r="J16" i="3"/>
  <c r="L16" i="3"/>
  <c r="K17" i="3"/>
  <c r="J17" i="3"/>
  <c r="L17" i="3"/>
  <c r="K18" i="3"/>
  <c r="J18" i="3"/>
  <c r="L18" i="3"/>
  <c r="K19" i="3"/>
  <c r="J19" i="3"/>
  <c r="L19" i="3"/>
  <c r="K20" i="3"/>
  <c r="J20" i="3"/>
  <c r="L20" i="3"/>
  <c r="K21" i="3"/>
  <c r="J21" i="3"/>
  <c r="L21" i="3"/>
  <c r="K22" i="3"/>
  <c r="J22" i="3"/>
  <c r="L22" i="3"/>
  <c r="K23" i="3"/>
  <c r="J23" i="3"/>
  <c r="L23" i="3"/>
  <c r="K24" i="3"/>
  <c r="J24" i="3"/>
  <c r="L24" i="3"/>
  <c r="K25" i="3"/>
  <c r="J25" i="3"/>
  <c r="L25" i="3"/>
  <c r="K26" i="3"/>
  <c r="J26" i="3"/>
  <c r="L26" i="3"/>
  <c r="K27" i="3"/>
  <c r="J27" i="3"/>
  <c r="L27" i="3"/>
  <c r="K28" i="3"/>
  <c r="J28" i="3"/>
  <c r="L28" i="3"/>
  <c r="K29" i="3"/>
  <c r="J29" i="3"/>
  <c r="L29" i="3"/>
  <c r="K30" i="3"/>
  <c r="J30" i="3"/>
  <c r="L30" i="3"/>
  <c r="K31" i="3"/>
  <c r="J31" i="3"/>
  <c r="L31" i="3"/>
  <c r="K32" i="3"/>
  <c r="J32" i="3"/>
  <c r="L32" i="3"/>
  <c r="K33" i="3"/>
  <c r="J33" i="3"/>
  <c r="L33" i="3"/>
  <c r="K34" i="3"/>
  <c r="J34" i="3"/>
  <c r="L34" i="3"/>
  <c r="K35" i="3"/>
  <c r="J35" i="3"/>
  <c r="L35" i="3"/>
  <c r="K36" i="3"/>
  <c r="J36" i="3"/>
  <c r="L36" i="3"/>
  <c r="K37" i="3"/>
  <c r="J37" i="3"/>
  <c r="L37" i="3"/>
  <c r="K38" i="3"/>
  <c r="J38" i="3"/>
  <c r="L38" i="3"/>
  <c r="K39" i="3"/>
  <c r="L39" i="3"/>
  <c r="K40" i="3"/>
  <c r="L40" i="3"/>
  <c r="K41" i="3"/>
  <c r="L41" i="3"/>
  <c r="K42" i="3"/>
  <c r="L42" i="3"/>
  <c r="K43" i="3"/>
  <c r="L43" i="3"/>
  <c r="K44" i="3"/>
  <c r="L44" i="3"/>
  <c r="K45" i="3"/>
  <c r="L45" i="3"/>
  <c r="K46" i="3"/>
  <c r="J46" i="3"/>
  <c r="L46" i="3"/>
  <c r="K47" i="3"/>
  <c r="J47" i="3"/>
  <c r="L47" i="3"/>
  <c r="K48" i="3"/>
  <c r="J48" i="3"/>
  <c r="L48" i="3"/>
  <c r="K49" i="3"/>
  <c r="J49" i="3"/>
  <c r="L49" i="3"/>
  <c r="K50" i="3"/>
  <c r="J50" i="3"/>
  <c r="L50" i="3"/>
  <c r="K51" i="3"/>
  <c r="J51" i="3"/>
  <c r="L51" i="3"/>
  <c r="K52" i="3"/>
  <c r="J52" i="3"/>
  <c r="L52" i="3"/>
  <c r="K53" i="3"/>
  <c r="J53" i="3"/>
  <c r="L53" i="3"/>
  <c r="K54" i="3"/>
  <c r="J54" i="3"/>
  <c r="L54" i="3"/>
  <c r="K55" i="3"/>
  <c r="J55" i="3"/>
  <c r="L55" i="3"/>
  <c r="K56" i="3"/>
  <c r="J56" i="3"/>
  <c r="L56" i="3"/>
  <c r="K58" i="3"/>
  <c r="J58" i="3"/>
  <c r="L58" i="3"/>
  <c r="K59" i="3"/>
  <c r="J59" i="3"/>
  <c r="L59" i="3"/>
  <c r="K60" i="3"/>
  <c r="J60" i="3"/>
  <c r="L60" i="3"/>
  <c r="K61" i="3"/>
  <c r="J61" i="3"/>
  <c r="L61" i="3"/>
  <c r="K62" i="3"/>
  <c r="J62" i="3"/>
  <c r="L62" i="3"/>
  <c r="K63" i="3"/>
  <c r="J63" i="3"/>
  <c r="L63" i="3"/>
  <c r="K64" i="3"/>
  <c r="J64" i="3"/>
  <c r="L64" i="3"/>
  <c r="K65" i="3"/>
  <c r="J65" i="3"/>
  <c r="L65" i="3"/>
  <c r="K66" i="3"/>
  <c r="J66" i="3"/>
  <c r="L66" i="3"/>
  <c r="K67" i="3"/>
  <c r="J67" i="3"/>
  <c r="L67" i="3"/>
  <c r="K68" i="3"/>
  <c r="J68" i="3"/>
  <c r="L68" i="3"/>
  <c r="K69" i="3"/>
  <c r="J69" i="3"/>
  <c r="L69" i="3"/>
  <c r="K70" i="3"/>
  <c r="J70" i="3"/>
  <c r="L70" i="3"/>
  <c r="K71" i="3"/>
  <c r="J71" i="3"/>
  <c r="L71" i="3"/>
  <c r="K72" i="3"/>
  <c r="J72" i="3"/>
  <c r="L72" i="3"/>
  <c r="L78" i="3"/>
  <c r="L79" i="3"/>
  <c r="L80" i="3"/>
  <c r="L81" i="3"/>
  <c r="L82" i="3"/>
  <c r="K84" i="3"/>
  <c r="J84" i="3"/>
  <c r="L84" i="3"/>
  <c r="K85" i="3"/>
  <c r="J85" i="3"/>
  <c r="L85" i="3"/>
  <c r="K86" i="3"/>
  <c r="J86" i="3"/>
  <c r="L86" i="3"/>
  <c r="K87" i="3"/>
  <c r="J87" i="3"/>
  <c r="L87" i="3"/>
  <c r="K88" i="3"/>
  <c r="J88" i="3"/>
  <c r="L88" i="3"/>
  <c r="K89" i="3"/>
  <c r="J89" i="3"/>
  <c r="L89" i="3"/>
  <c r="K90" i="3"/>
  <c r="J90" i="3"/>
  <c r="L90" i="3"/>
  <c r="K91" i="3"/>
  <c r="J91" i="3"/>
  <c r="L91" i="3"/>
  <c r="K93" i="3"/>
  <c r="J93" i="3"/>
  <c r="L93" i="3"/>
  <c r="K94" i="3"/>
  <c r="J94" i="3"/>
  <c r="L94" i="3"/>
  <c r="K95" i="3"/>
  <c r="J95" i="3"/>
  <c r="L95" i="3"/>
  <c r="K96" i="3"/>
  <c r="J96" i="3"/>
  <c r="L96" i="3"/>
  <c r="K99" i="3"/>
  <c r="J99" i="3"/>
  <c r="L99" i="3"/>
  <c r="K100" i="3"/>
  <c r="J100" i="3"/>
  <c r="L100" i="3"/>
  <c r="K101" i="3"/>
  <c r="J101" i="3"/>
  <c r="L101" i="3"/>
  <c r="K102" i="3"/>
  <c r="J102" i="3"/>
  <c r="L102" i="3"/>
  <c r="K103" i="3"/>
  <c r="J103" i="3"/>
  <c r="L103" i="3"/>
  <c r="K104" i="3"/>
  <c r="J104" i="3"/>
  <c r="L104" i="3"/>
  <c r="K105" i="3"/>
  <c r="J105" i="3"/>
  <c r="L105" i="3"/>
  <c r="K107" i="3"/>
  <c r="J107" i="3"/>
  <c r="L107" i="3"/>
  <c r="K108" i="3"/>
  <c r="J108" i="3"/>
  <c r="L108" i="3"/>
  <c r="K15" i="3"/>
  <c r="J15" i="3"/>
  <c r="L15" i="3"/>
  <c r="J112" i="3"/>
  <c r="K57" i="3"/>
  <c r="K73" i="3"/>
  <c r="K74" i="3"/>
  <c r="K75" i="3"/>
  <c r="K76" i="3"/>
  <c r="K77" i="3"/>
  <c r="K83" i="3"/>
  <c r="K92" i="3"/>
  <c r="K97" i="3"/>
  <c r="K98" i="3"/>
  <c r="K106" i="3"/>
  <c r="K110" i="3"/>
  <c r="F193" i="31"/>
  <c r="F195" i="31"/>
  <c r="N15" i="3"/>
  <c r="N16" i="3"/>
  <c r="N17" i="3"/>
  <c r="N18" i="3"/>
  <c r="N19" i="3"/>
  <c r="N20" i="3"/>
  <c r="N21" i="3"/>
  <c r="N22" i="3"/>
  <c r="N23" i="3"/>
  <c r="N24" i="3"/>
  <c r="N25" i="3"/>
  <c r="N26" i="3"/>
  <c r="N27" i="3"/>
  <c r="N28" i="3"/>
  <c r="N29" i="3"/>
  <c r="N30" i="3"/>
  <c r="N31" i="3"/>
  <c r="N32" i="3"/>
  <c r="N33" i="3"/>
  <c r="N34" i="3"/>
  <c r="N35" i="3"/>
  <c r="N36" i="3"/>
  <c r="N37" i="3"/>
  <c r="N38"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83" i="3"/>
  <c r="N84" i="3"/>
  <c r="N85" i="3"/>
  <c r="N86" i="3"/>
  <c r="N87" i="3"/>
  <c r="N88" i="3"/>
  <c r="N89" i="3"/>
  <c r="N90" i="3"/>
  <c r="N91" i="3"/>
  <c r="N92" i="3"/>
  <c r="N93" i="3"/>
  <c r="N94" i="3"/>
  <c r="N95" i="3"/>
  <c r="N96" i="3"/>
  <c r="N97" i="3"/>
  <c r="N98" i="3"/>
  <c r="N99" i="3"/>
  <c r="N100" i="3"/>
  <c r="N101" i="3"/>
  <c r="N102" i="3"/>
  <c r="N103" i="3"/>
  <c r="N104" i="3"/>
  <c r="N105" i="3"/>
  <c r="N106" i="3"/>
  <c r="N107" i="3"/>
  <c r="N108" i="3"/>
  <c r="N110" i="3"/>
  <c r="F196" i="31"/>
  <c r="C193" i="31"/>
  <c r="E193" i="31"/>
  <c r="J57" i="3"/>
  <c r="J73" i="3"/>
  <c r="J74" i="3"/>
  <c r="J75" i="3"/>
  <c r="J76" i="3"/>
  <c r="J77" i="3"/>
  <c r="J83" i="3"/>
  <c r="J92" i="3"/>
  <c r="J97" i="3"/>
  <c r="J98" i="3"/>
  <c r="J106" i="3"/>
  <c r="J110" i="3"/>
  <c r="C194" i="31"/>
  <c r="E194" i="31"/>
  <c r="C195" i="31"/>
  <c r="E195" i="31"/>
  <c r="M15" i="3"/>
  <c r="M16" i="3"/>
  <c r="M17" i="3"/>
  <c r="M18" i="3"/>
  <c r="M19" i="3"/>
  <c r="M20" i="3"/>
  <c r="M21" i="3"/>
  <c r="M22" i="3"/>
  <c r="M23" i="3"/>
  <c r="M24" i="3"/>
  <c r="M25" i="3"/>
  <c r="M26" i="3"/>
  <c r="M27" i="3"/>
  <c r="M28" i="3"/>
  <c r="M29" i="3"/>
  <c r="M30" i="3"/>
  <c r="M31" i="3"/>
  <c r="M32" i="3"/>
  <c r="M33" i="3"/>
  <c r="M34" i="3"/>
  <c r="M35" i="3"/>
  <c r="M36" i="3"/>
  <c r="M37" i="3"/>
  <c r="M38"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83" i="3"/>
  <c r="M84" i="3"/>
  <c r="M85" i="3"/>
  <c r="M86" i="3"/>
  <c r="M87" i="3"/>
  <c r="M88" i="3"/>
  <c r="M89" i="3"/>
  <c r="M90" i="3"/>
  <c r="M91" i="3"/>
  <c r="M92" i="3"/>
  <c r="M93" i="3"/>
  <c r="M94" i="3"/>
  <c r="M95" i="3"/>
  <c r="M96" i="3"/>
  <c r="M97" i="3"/>
  <c r="M98" i="3"/>
  <c r="M99" i="3"/>
  <c r="M100" i="3"/>
  <c r="M101" i="3"/>
  <c r="M102" i="3"/>
  <c r="M103" i="3"/>
  <c r="M104" i="3"/>
  <c r="M105" i="3"/>
  <c r="M106" i="3"/>
  <c r="M107" i="3"/>
  <c r="M108" i="3"/>
  <c r="M110" i="3"/>
  <c r="C196" i="31"/>
  <c r="E196" i="31"/>
  <c r="E199" i="31"/>
  <c r="D193" i="31"/>
  <c r="D194" i="31"/>
  <c r="D195" i="31"/>
  <c r="D196" i="31"/>
  <c r="D199" i="31"/>
  <c r="D184" i="31"/>
  <c r="C184" i="31"/>
  <c r="C172" i="31"/>
  <c r="F184" i="31"/>
  <c r="E184" i="31"/>
  <c r="F183" i="31"/>
  <c r="C183" i="31"/>
  <c r="E183" i="31"/>
  <c r="D183" i="31"/>
  <c r="C181" i="31"/>
  <c r="E181" i="31"/>
  <c r="D181" i="31"/>
  <c r="F172" i="31"/>
  <c r="F171" i="31"/>
  <c r="C171" i="31"/>
  <c r="C182" i="31"/>
  <c r="E182" i="31"/>
  <c r="C169" i="31"/>
  <c r="E169" i="31"/>
  <c r="C170" i="31"/>
  <c r="E170" i="31"/>
  <c r="F182" i="31"/>
  <c r="D182" i="31"/>
  <c r="F169" i="31"/>
  <c r="E187" i="31"/>
  <c r="D187" i="31"/>
  <c r="D129" i="31"/>
  <c r="F129" i="31"/>
  <c r="I129" i="31"/>
  <c r="C129" i="31"/>
  <c r="E129" i="31"/>
  <c r="H129" i="31"/>
  <c r="G129" i="31"/>
  <c r="D128" i="31"/>
  <c r="F128" i="31"/>
  <c r="I128" i="31"/>
  <c r="C128" i="31"/>
  <c r="E128" i="31"/>
  <c r="H128" i="31"/>
  <c r="G128" i="31"/>
  <c r="D126" i="31"/>
  <c r="F126" i="31"/>
  <c r="I126" i="31"/>
  <c r="C126" i="31"/>
  <c r="E126" i="31"/>
  <c r="H126" i="31"/>
  <c r="G126" i="31"/>
  <c r="D127" i="31"/>
  <c r="F127" i="31"/>
  <c r="I127" i="31"/>
  <c r="C127" i="31"/>
  <c r="E127" i="31"/>
  <c r="H127" i="31"/>
  <c r="G127" i="31"/>
  <c r="D125" i="31"/>
  <c r="F125" i="31"/>
  <c r="I125" i="31"/>
  <c r="C125" i="31"/>
  <c r="E125" i="31"/>
  <c r="H125" i="31"/>
  <c r="G125" i="31"/>
  <c r="D118" i="31"/>
  <c r="F118" i="31"/>
  <c r="I118" i="31"/>
  <c r="C118" i="31"/>
  <c r="E118" i="31"/>
  <c r="H118" i="31"/>
  <c r="G118" i="31"/>
  <c r="D123" i="31"/>
  <c r="F123" i="31"/>
  <c r="I123" i="31"/>
  <c r="C123" i="31"/>
  <c r="E123" i="31"/>
  <c r="H123" i="31"/>
  <c r="G123" i="31"/>
  <c r="D124" i="31"/>
  <c r="F124" i="31"/>
  <c r="I124" i="31"/>
  <c r="C124" i="31"/>
  <c r="E124" i="31"/>
  <c r="H124" i="31"/>
  <c r="G124" i="31"/>
  <c r="D122" i="31"/>
  <c r="F122" i="31"/>
  <c r="I122" i="31"/>
  <c r="C122" i="31"/>
  <c r="E122" i="31"/>
  <c r="H122" i="31"/>
  <c r="G122" i="31"/>
  <c r="D121" i="31"/>
  <c r="F121" i="31"/>
  <c r="I121" i="31"/>
  <c r="C121" i="31"/>
  <c r="E121" i="31"/>
  <c r="H121" i="31"/>
  <c r="G121" i="31"/>
  <c r="D119" i="31"/>
  <c r="F119" i="31"/>
  <c r="I119" i="31"/>
  <c r="C119" i="31"/>
  <c r="E119" i="31"/>
  <c r="H119" i="31"/>
  <c r="G119" i="31"/>
  <c r="D112" i="31"/>
  <c r="F112" i="31"/>
  <c r="I112" i="31"/>
  <c r="C112" i="31"/>
  <c r="E112" i="31"/>
  <c r="H112" i="31"/>
  <c r="G112" i="31"/>
  <c r="D113" i="31"/>
  <c r="F113" i="31"/>
  <c r="I113" i="31"/>
  <c r="C113" i="31"/>
  <c r="E113" i="31"/>
  <c r="H113" i="31"/>
  <c r="G113" i="31"/>
  <c r="D120" i="31"/>
  <c r="F120" i="31"/>
  <c r="I120" i="31"/>
  <c r="C120" i="31"/>
  <c r="E120" i="31"/>
  <c r="H120" i="31"/>
  <c r="G120" i="31"/>
  <c r="H115" i="31"/>
  <c r="D114" i="31"/>
  <c r="F114" i="31"/>
  <c r="I114" i="31"/>
  <c r="G114" i="31"/>
  <c r="D110" i="31"/>
  <c r="F110" i="31"/>
  <c r="I110" i="31"/>
  <c r="C110" i="31"/>
  <c r="E110" i="31"/>
  <c r="H110" i="31"/>
  <c r="G110" i="31"/>
  <c r="D111" i="31"/>
  <c r="F111" i="31"/>
  <c r="I111" i="31"/>
  <c r="C111" i="31"/>
  <c r="E111" i="31"/>
  <c r="H111" i="31"/>
  <c r="G111" i="31"/>
  <c r="D116" i="31"/>
  <c r="F116" i="31"/>
  <c r="I116" i="31"/>
  <c r="C116" i="31"/>
  <c r="E116" i="31"/>
  <c r="H116" i="31"/>
  <c r="G116" i="31"/>
  <c r="D109" i="31"/>
  <c r="F109" i="31"/>
  <c r="I109" i="31"/>
  <c r="C109" i="31"/>
  <c r="E109" i="31"/>
  <c r="H109" i="31"/>
  <c r="G109" i="31"/>
  <c r="D106" i="31"/>
  <c r="F106" i="31"/>
  <c r="I106" i="31"/>
  <c r="C106" i="31"/>
  <c r="E106" i="31"/>
  <c r="H106" i="31"/>
  <c r="G106" i="31"/>
  <c r="D107" i="31"/>
  <c r="F107" i="31"/>
  <c r="I107" i="31"/>
  <c r="C107" i="31"/>
  <c r="E107" i="31"/>
  <c r="H107" i="31"/>
  <c r="G107" i="31"/>
  <c r="D117" i="31"/>
  <c r="F117" i="31"/>
  <c r="I117" i="31"/>
  <c r="C117" i="31"/>
  <c r="E117" i="31"/>
  <c r="H117" i="31"/>
  <c r="G117" i="31"/>
  <c r="D108" i="31"/>
  <c r="F108" i="31"/>
  <c r="I108" i="31"/>
  <c r="C108" i="31"/>
  <c r="E108" i="31"/>
  <c r="H108" i="31"/>
  <c r="G108" i="31"/>
  <c r="F105" i="31"/>
  <c r="C105" i="31"/>
  <c r="E105" i="31"/>
  <c r="H105" i="31"/>
  <c r="G105" i="31"/>
  <c r="C149" i="31"/>
  <c r="E149" i="31"/>
  <c r="F149" i="31"/>
  <c r="G149" i="31"/>
  <c r="H149" i="31"/>
  <c r="C150" i="31"/>
  <c r="D150" i="31"/>
  <c r="E150" i="31"/>
  <c r="F150" i="31"/>
  <c r="G150" i="31"/>
  <c r="H150" i="31"/>
  <c r="C151" i="31"/>
  <c r="D151" i="31"/>
  <c r="E151" i="31"/>
  <c r="F151" i="31"/>
  <c r="G151" i="31"/>
  <c r="H151" i="31"/>
  <c r="C152" i="31"/>
  <c r="D152" i="31"/>
  <c r="E152" i="31"/>
  <c r="F152" i="31"/>
  <c r="G152" i="31"/>
  <c r="H152" i="31"/>
  <c r="G81" i="31"/>
  <c r="G80" i="31"/>
  <c r="G79" i="31"/>
  <c r="G82" i="31"/>
  <c r="G86" i="31"/>
  <c r="G84" i="31"/>
  <c r="G89" i="31"/>
  <c r="G88" i="31"/>
  <c r="G96" i="31"/>
  <c r="G87" i="31"/>
  <c r="G83" i="31"/>
  <c r="G78" i="31"/>
  <c r="G95" i="31"/>
  <c r="G90" i="31"/>
  <c r="G91" i="31"/>
  <c r="G92" i="31"/>
  <c r="G94" i="31"/>
  <c r="G93" i="31"/>
  <c r="G97" i="31"/>
  <c r="G99" i="31"/>
  <c r="G98" i="31"/>
  <c r="G101" i="31"/>
  <c r="G100" i="31"/>
  <c r="D72" i="31"/>
  <c r="F72" i="31"/>
  <c r="I72" i="31"/>
  <c r="C72" i="31"/>
  <c r="E72" i="31"/>
  <c r="H72" i="31"/>
  <c r="D71" i="31"/>
  <c r="F71" i="31"/>
  <c r="I71" i="31"/>
  <c r="C71" i="31"/>
  <c r="E71" i="31"/>
  <c r="H71" i="31"/>
  <c r="D70" i="31"/>
  <c r="F70" i="31"/>
  <c r="I70" i="31"/>
  <c r="C70" i="31"/>
  <c r="E70" i="31"/>
  <c r="H70" i="31"/>
  <c r="D69" i="31"/>
  <c r="F69" i="31"/>
  <c r="I69" i="31"/>
  <c r="C69" i="31"/>
  <c r="E69" i="31"/>
  <c r="H69" i="31"/>
  <c r="D68" i="31"/>
  <c r="F68" i="31"/>
  <c r="I68" i="31"/>
  <c r="C68" i="31"/>
  <c r="E68" i="31"/>
  <c r="H68" i="31"/>
  <c r="D67" i="31"/>
  <c r="F67" i="31"/>
  <c r="I67" i="31"/>
  <c r="C67" i="31"/>
  <c r="E67" i="31"/>
  <c r="H67" i="31"/>
  <c r="D66" i="31"/>
  <c r="F66" i="31"/>
  <c r="I66" i="31"/>
  <c r="C66" i="31"/>
  <c r="E66" i="31"/>
  <c r="H66" i="31"/>
  <c r="D64" i="31"/>
  <c r="F64" i="31"/>
  <c r="I64" i="31"/>
  <c r="C64" i="31"/>
  <c r="E64" i="31"/>
  <c r="H64" i="31"/>
  <c r="D63" i="31"/>
  <c r="F63" i="31"/>
  <c r="I63" i="31"/>
  <c r="C63" i="31"/>
  <c r="E63" i="31"/>
  <c r="H63" i="31"/>
  <c r="D61" i="31"/>
  <c r="F61" i="31"/>
  <c r="I61" i="31"/>
  <c r="C61" i="31"/>
  <c r="E61" i="31"/>
  <c r="H61" i="31"/>
  <c r="D62" i="31"/>
  <c r="F62" i="31"/>
  <c r="I62" i="31"/>
  <c r="C62" i="31"/>
  <c r="E62" i="31"/>
  <c r="H62" i="31"/>
  <c r="D59" i="31"/>
  <c r="F59" i="31"/>
  <c r="I59" i="31"/>
  <c r="C59" i="31"/>
  <c r="E59" i="31"/>
  <c r="H59" i="31"/>
  <c r="D58" i="31"/>
  <c r="F58" i="31"/>
  <c r="I58" i="31"/>
  <c r="C58" i="31"/>
  <c r="E58" i="31"/>
  <c r="H58" i="31"/>
  <c r="I60" i="31"/>
  <c r="H60" i="31"/>
  <c r="D57" i="31"/>
  <c r="F57" i="31"/>
  <c r="I57" i="31"/>
  <c r="C57" i="31"/>
  <c r="E57" i="31"/>
  <c r="H57" i="31"/>
  <c r="D65" i="31"/>
  <c r="F65" i="31"/>
  <c r="I65" i="31"/>
  <c r="C65" i="31"/>
  <c r="E65" i="31"/>
  <c r="H65" i="31"/>
  <c r="D53" i="31"/>
  <c r="F53" i="31"/>
  <c r="I53" i="31"/>
  <c r="C53" i="31"/>
  <c r="E53" i="31"/>
  <c r="H53" i="31"/>
  <c r="D56" i="31"/>
  <c r="F56" i="31"/>
  <c r="I56" i="31"/>
  <c r="C56" i="31"/>
  <c r="E56" i="31"/>
  <c r="H56" i="31"/>
  <c r="D54" i="31"/>
  <c r="F54" i="31"/>
  <c r="I54" i="31"/>
  <c r="C54" i="31"/>
  <c r="E54" i="31"/>
  <c r="H54" i="31"/>
  <c r="D55" i="31"/>
  <c r="F55" i="31"/>
  <c r="I55" i="31"/>
  <c r="C55" i="31"/>
  <c r="E55" i="31"/>
  <c r="H55" i="31"/>
  <c r="D52" i="31"/>
  <c r="F52" i="31"/>
  <c r="I52" i="31"/>
  <c r="C52" i="31"/>
  <c r="E52" i="31"/>
  <c r="H52" i="31"/>
  <c r="D51" i="31"/>
  <c r="F51" i="31"/>
  <c r="I51" i="31"/>
  <c r="C51" i="31"/>
  <c r="E51" i="31"/>
  <c r="H51" i="31"/>
  <c r="D50" i="31"/>
  <c r="F50" i="31"/>
  <c r="I50" i="31"/>
  <c r="C50" i="31"/>
  <c r="E50" i="31"/>
  <c r="H50" i="31"/>
  <c r="D49" i="31"/>
  <c r="F49" i="31"/>
  <c r="I49" i="31"/>
  <c r="C49" i="31"/>
  <c r="E49" i="31"/>
  <c r="H49" i="31"/>
  <c r="F48" i="31"/>
  <c r="C48" i="31"/>
  <c r="E48" i="31"/>
  <c r="H48" i="31"/>
  <c r="G48" i="31"/>
  <c r="I152" i="31"/>
  <c r="I151" i="31"/>
  <c r="I150" i="31"/>
  <c r="G14" i="31"/>
  <c r="H14" i="31"/>
  <c r="I14" i="31"/>
  <c r="G6" i="31"/>
  <c r="H6" i="31"/>
  <c r="I6" i="31"/>
  <c r="F8" i="31"/>
  <c r="D7" i="31"/>
  <c r="F7" i="31"/>
  <c r="I7" i="31"/>
  <c r="D9" i="31"/>
  <c r="F9" i="31"/>
  <c r="I9" i="31"/>
  <c r="E8" i="31"/>
  <c r="H8" i="31"/>
  <c r="E7" i="31"/>
  <c r="H7" i="31"/>
  <c r="E9" i="31"/>
  <c r="H9" i="31"/>
  <c r="H10" i="31"/>
  <c r="G8" i="31"/>
  <c r="G7" i="31"/>
  <c r="G9" i="31"/>
  <c r="G10" i="31"/>
  <c r="F10" i="31"/>
  <c r="E10" i="31"/>
  <c r="I25" i="5"/>
  <c r="H25" i="5"/>
  <c r="I23" i="5"/>
  <c r="H23" i="5"/>
  <c r="J18" i="5"/>
  <c r="D16" i="31"/>
  <c r="D17" i="31"/>
  <c r="E15" i="31"/>
  <c r="E16" i="31"/>
  <c r="E17" i="31"/>
  <c r="E18" i="31"/>
  <c r="F15" i="31"/>
  <c r="F16" i="31"/>
  <c r="F17" i="31"/>
  <c r="F18" i="31"/>
  <c r="G16" i="31"/>
  <c r="G15" i="31"/>
  <c r="G17" i="31"/>
  <c r="G18" i="31"/>
  <c r="H15" i="31"/>
  <c r="H16" i="31"/>
  <c r="H17" i="31"/>
  <c r="H18" i="31"/>
  <c r="I16" i="31"/>
  <c r="I17" i="31"/>
  <c r="E171" i="31"/>
  <c r="E172" i="31"/>
  <c r="E175" i="31"/>
  <c r="I21" i="5"/>
  <c r="H21" i="5"/>
  <c r="H17" i="5"/>
  <c r="C79" i="31"/>
  <c r="E79" i="31"/>
  <c r="H79" i="31"/>
  <c r="C78" i="31"/>
  <c r="E78" i="31"/>
  <c r="H78" i="31"/>
  <c r="C81" i="31"/>
  <c r="E81" i="31"/>
  <c r="H81" i="31"/>
  <c r="C82" i="31"/>
  <c r="E82" i="31"/>
  <c r="H82" i="31"/>
  <c r="C83" i="31"/>
  <c r="E83" i="31"/>
  <c r="H83" i="31"/>
  <c r="C84" i="31"/>
  <c r="E84" i="31"/>
  <c r="H84" i="31"/>
  <c r="C86" i="31"/>
  <c r="E86" i="31"/>
  <c r="H86" i="31"/>
  <c r="C87" i="31"/>
  <c r="E87" i="31"/>
  <c r="H87" i="31"/>
  <c r="C96" i="31"/>
  <c r="E96" i="31"/>
  <c r="H96" i="31"/>
  <c r="C88" i="31"/>
  <c r="E88" i="31"/>
  <c r="H88" i="31"/>
  <c r="C80" i="31"/>
  <c r="E80" i="31"/>
  <c r="H80" i="31"/>
  <c r="C89" i="31"/>
  <c r="E89" i="31"/>
  <c r="H89" i="31"/>
  <c r="C90" i="31"/>
  <c r="E90" i="31"/>
  <c r="H90" i="31"/>
  <c r="C91" i="31"/>
  <c r="E91" i="31"/>
  <c r="H91" i="31"/>
  <c r="C92" i="31"/>
  <c r="E92" i="31"/>
  <c r="H92" i="31"/>
  <c r="C93" i="31"/>
  <c r="E93" i="31"/>
  <c r="H93" i="31"/>
  <c r="C94" i="31"/>
  <c r="E94" i="31"/>
  <c r="H94" i="31"/>
  <c r="C95" i="31"/>
  <c r="E95" i="31"/>
  <c r="H95" i="31"/>
  <c r="C97" i="31"/>
  <c r="E97" i="31"/>
  <c r="H97" i="31"/>
  <c r="C98" i="31"/>
  <c r="E98" i="31"/>
  <c r="H98" i="31"/>
  <c r="C99" i="31"/>
  <c r="E99" i="31"/>
  <c r="H99" i="31"/>
  <c r="C101" i="31"/>
  <c r="E101" i="31"/>
  <c r="H101" i="31"/>
  <c r="C100" i="31"/>
  <c r="E100" i="31"/>
  <c r="H100" i="31"/>
  <c r="C77" i="31"/>
  <c r="E77" i="31"/>
  <c r="H77" i="31"/>
  <c r="C137" i="31"/>
  <c r="E137" i="31"/>
  <c r="H137" i="31"/>
  <c r="C135" i="31"/>
  <c r="E135" i="31"/>
  <c r="H135" i="31"/>
  <c r="C138" i="31"/>
  <c r="E138" i="31"/>
  <c r="H138" i="31"/>
  <c r="C136" i="31"/>
  <c r="E136" i="31"/>
  <c r="H136" i="31"/>
  <c r="D136" i="31"/>
  <c r="F136" i="31"/>
  <c r="I136" i="31"/>
  <c r="D138" i="31"/>
  <c r="F138" i="31"/>
  <c r="I138" i="31"/>
  <c r="F135" i="31"/>
  <c r="D137" i="31"/>
  <c r="F137" i="31"/>
  <c r="I137" i="31"/>
  <c r="D87" i="31"/>
  <c r="F87" i="31"/>
  <c r="I87" i="31"/>
  <c r="D95" i="31"/>
  <c r="F95" i="31"/>
  <c r="I95" i="31"/>
  <c r="D88" i="31"/>
  <c r="F88" i="31"/>
  <c r="I88" i="31"/>
  <c r="D96" i="31"/>
  <c r="F96" i="31"/>
  <c r="I96" i="31"/>
  <c r="D91" i="31"/>
  <c r="F91" i="31"/>
  <c r="I91" i="31"/>
  <c r="D92" i="31"/>
  <c r="F92" i="31"/>
  <c r="I92" i="31"/>
  <c r="D78" i="31"/>
  <c r="F78" i="31"/>
  <c r="I78" i="31"/>
  <c r="D98" i="31"/>
  <c r="F98" i="31"/>
  <c r="I98" i="31"/>
  <c r="D83" i="31"/>
  <c r="F83" i="31"/>
  <c r="I83" i="31"/>
  <c r="D94" i="31"/>
  <c r="F94" i="31"/>
  <c r="I94" i="31"/>
  <c r="D99" i="31"/>
  <c r="F99" i="31"/>
  <c r="I99" i="31"/>
  <c r="D93" i="31"/>
  <c r="F93" i="31"/>
  <c r="I93" i="31"/>
  <c r="D89" i="31"/>
  <c r="F89" i="31"/>
  <c r="I89" i="31"/>
  <c r="D81" i="31"/>
  <c r="F81" i="31"/>
  <c r="I81" i="31"/>
  <c r="D86" i="31"/>
  <c r="F86" i="31"/>
  <c r="I86" i="31"/>
  <c r="D84" i="31"/>
  <c r="F84" i="31"/>
  <c r="I84" i="31"/>
  <c r="D100" i="31"/>
  <c r="F100" i="31"/>
  <c r="I100" i="31"/>
  <c r="F77" i="31"/>
  <c r="D80" i="31"/>
  <c r="F80" i="31"/>
  <c r="I80" i="31"/>
  <c r="D82" i="31"/>
  <c r="F82" i="31"/>
  <c r="I82" i="31"/>
  <c r="D101" i="31"/>
  <c r="F101" i="31"/>
  <c r="I101" i="31"/>
  <c r="D79" i="31"/>
  <c r="F79" i="31"/>
  <c r="I79" i="31"/>
  <c r="D90" i="31"/>
  <c r="F90" i="31"/>
  <c r="I90" i="31"/>
  <c r="D97" i="31"/>
  <c r="F97" i="31"/>
  <c r="I97" i="31"/>
  <c r="G77" i="31"/>
  <c r="G137" i="31"/>
  <c r="G135" i="31"/>
  <c r="G138" i="31"/>
  <c r="G136" i="31"/>
  <c r="J10" i="2"/>
  <c r="K10" i="2"/>
  <c r="L10" i="2"/>
  <c r="J11" i="2"/>
  <c r="K11" i="2"/>
  <c r="L11" i="2"/>
  <c r="J12" i="2"/>
  <c r="K12" i="2"/>
  <c r="L12" i="2"/>
  <c r="M12" i="2"/>
  <c r="J13" i="2"/>
  <c r="K13" i="2"/>
  <c r="L13" i="2"/>
  <c r="M13" i="2"/>
  <c r="J14" i="2"/>
  <c r="K14" i="2"/>
  <c r="L14" i="2"/>
  <c r="J15" i="2"/>
  <c r="K15" i="2"/>
  <c r="L15" i="2"/>
  <c r="J16" i="2"/>
  <c r="K16" i="2"/>
  <c r="L16" i="2"/>
  <c r="J17" i="2"/>
  <c r="K17" i="2"/>
  <c r="L17" i="2"/>
  <c r="M17" i="2"/>
  <c r="J18" i="2"/>
  <c r="K18" i="2"/>
  <c r="L18" i="2"/>
  <c r="J19" i="2"/>
  <c r="K19" i="2"/>
  <c r="L19" i="2"/>
  <c r="M19" i="2"/>
  <c r="J20" i="2"/>
  <c r="K20" i="2"/>
  <c r="L20" i="2"/>
  <c r="M20" i="2"/>
  <c r="K9" i="2"/>
  <c r="L9" i="2"/>
  <c r="J9" i="2"/>
  <c r="M9" i="2"/>
  <c r="M15" i="2"/>
  <c r="M11" i="2"/>
  <c r="M16" i="2"/>
  <c r="M14" i="2"/>
  <c r="M18" i="2"/>
  <c r="M10" i="2"/>
  <c r="C16" i="14"/>
  <c r="D16" i="14"/>
  <c r="E16" i="14"/>
  <c r="F16" i="14"/>
  <c r="G16" i="14"/>
  <c r="H16" i="14"/>
  <c r="I16" i="14"/>
  <c r="J16" i="14"/>
  <c r="K16" i="14"/>
  <c r="L16" i="14"/>
  <c r="M16" i="14"/>
  <c r="C17" i="14"/>
  <c r="D17" i="14"/>
  <c r="E17" i="14"/>
  <c r="F17" i="14"/>
  <c r="G17" i="14"/>
  <c r="H17" i="14"/>
  <c r="I17" i="14"/>
  <c r="J17" i="14"/>
  <c r="K17" i="14"/>
  <c r="L17" i="14"/>
  <c r="M17" i="14"/>
  <c r="C18" i="14"/>
  <c r="D18" i="14"/>
  <c r="E18" i="14"/>
  <c r="F18" i="14"/>
  <c r="G18" i="14"/>
  <c r="H18" i="14"/>
  <c r="I18" i="14"/>
  <c r="J18" i="14"/>
  <c r="K18" i="14"/>
  <c r="L18" i="14"/>
  <c r="M18" i="14"/>
  <c r="C19" i="14"/>
  <c r="D19" i="14"/>
  <c r="E19" i="14"/>
  <c r="F19" i="14"/>
  <c r="G19" i="14"/>
  <c r="H19" i="14"/>
  <c r="I19" i="14"/>
  <c r="J19" i="14"/>
  <c r="K19" i="14"/>
  <c r="L19" i="14"/>
  <c r="M19" i="14"/>
  <c r="C20" i="14"/>
  <c r="D20" i="14"/>
  <c r="E20" i="14"/>
  <c r="F20" i="14"/>
  <c r="G20" i="14"/>
  <c r="H20" i="14"/>
  <c r="I20" i="14"/>
  <c r="J20" i="14"/>
  <c r="K20" i="14"/>
  <c r="L20" i="14"/>
  <c r="M20" i="14"/>
  <c r="C21" i="14"/>
  <c r="D21" i="14"/>
  <c r="E21" i="14"/>
  <c r="F21" i="14"/>
  <c r="G21" i="14"/>
  <c r="H21" i="14"/>
  <c r="I21" i="14"/>
  <c r="J21" i="14"/>
  <c r="K21" i="14"/>
  <c r="L21" i="14"/>
  <c r="M21" i="14"/>
  <c r="C22" i="14"/>
  <c r="D22" i="14"/>
  <c r="E22" i="14"/>
  <c r="F22" i="14"/>
  <c r="G22" i="14"/>
  <c r="H22" i="14"/>
  <c r="I22" i="14"/>
  <c r="J22" i="14"/>
  <c r="K22" i="14"/>
  <c r="L22" i="14"/>
  <c r="M22" i="14"/>
  <c r="C23" i="14"/>
  <c r="D23" i="14"/>
  <c r="E23" i="14"/>
  <c r="F23" i="14"/>
  <c r="G23" i="14"/>
  <c r="H23" i="14"/>
  <c r="I23" i="14"/>
  <c r="J23" i="14"/>
  <c r="K23" i="14"/>
  <c r="L23" i="14"/>
  <c r="M23" i="14"/>
  <c r="C24" i="14"/>
  <c r="D24" i="14"/>
  <c r="E24" i="14"/>
  <c r="F24" i="14"/>
  <c r="G24" i="14"/>
  <c r="H24" i="14"/>
  <c r="I24" i="14"/>
  <c r="J24" i="14"/>
  <c r="K24" i="14"/>
  <c r="L24" i="14"/>
  <c r="M24" i="14"/>
  <c r="C25" i="14"/>
  <c r="D25" i="14"/>
  <c r="E25" i="14"/>
  <c r="F25" i="14"/>
  <c r="G25" i="14"/>
  <c r="H25" i="14"/>
  <c r="I25" i="14"/>
  <c r="J25" i="14"/>
  <c r="K25" i="14"/>
  <c r="L25" i="14"/>
  <c r="M25" i="14"/>
  <c r="C26" i="14"/>
  <c r="D26" i="14"/>
  <c r="E26" i="14"/>
  <c r="F26" i="14"/>
  <c r="G26" i="14"/>
  <c r="H26" i="14"/>
  <c r="I26" i="14"/>
  <c r="J26" i="14"/>
  <c r="K26" i="14"/>
  <c r="L26" i="14"/>
  <c r="M26" i="14"/>
  <c r="C27" i="14"/>
  <c r="D27" i="14"/>
  <c r="E27" i="14"/>
  <c r="F27" i="14"/>
  <c r="G27" i="14"/>
  <c r="H27" i="14"/>
  <c r="I27" i="14"/>
  <c r="J27" i="14"/>
  <c r="K27" i="14"/>
  <c r="L27" i="14"/>
  <c r="M27" i="14"/>
  <c r="C28" i="14"/>
  <c r="D28" i="14"/>
  <c r="E28" i="14"/>
  <c r="F28" i="14"/>
  <c r="G28" i="14"/>
  <c r="H28" i="14"/>
  <c r="I28" i="14"/>
  <c r="J28" i="14"/>
  <c r="K28" i="14"/>
  <c r="L28" i="14"/>
  <c r="M28" i="14"/>
  <c r="C29" i="14"/>
  <c r="D29" i="14"/>
  <c r="E29" i="14"/>
  <c r="F29" i="14"/>
  <c r="G29" i="14"/>
  <c r="H29" i="14"/>
  <c r="I29" i="14"/>
  <c r="J29" i="14"/>
  <c r="K29" i="14"/>
  <c r="L29" i="14"/>
  <c r="M29" i="14"/>
  <c r="C30" i="14"/>
  <c r="D30" i="14"/>
  <c r="E30" i="14"/>
  <c r="F30" i="14"/>
  <c r="G30" i="14"/>
  <c r="H30" i="14"/>
  <c r="I30" i="14"/>
  <c r="J30" i="14"/>
  <c r="K30" i="14"/>
  <c r="L30" i="14"/>
  <c r="M30" i="14"/>
  <c r="C31" i="14"/>
  <c r="D31" i="14"/>
  <c r="E31" i="14"/>
  <c r="F31" i="14"/>
  <c r="G31" i="14"/>
  <c r="H31" i="14"/>
  <c r="I31" i="14"/>
  <c r="J31" i="14"/>
  <c r="K31" i="14"/>
  <c r="L31" i="14"/>
  <c r="M31" i="14"/>
  <c r="C32" i="14"/>
  <c r="D32" i="14"/>
  <c r="E32" i="14"/>
  <c r="F32" i="14"/>
  <c r="G32" i="14"/>
  <c r="H32" i="14"/>
  <c r="I32" i="14"/>
  <c r="J32" i="14"/>
  <c r="K32" i="14"/>
  <c r="L32" i="14"/>
  <c r="M32" i="14"/>
  <c r="C33" i="14"/>
  <c r="D33" i="14"/>
  <c r="E33" i="14"/>
  <c r="F33" i="14"/>
  <c r="G33" i="14"/>
  <c r="H33" i="14"/>
  <c r="I33" i="14"/>
  <c r="J33" i="14"/>
  <c r="K33" i="14"/>
  <c r="L33" i="14"/>
  <c r="M33" i="14"/>
  <c r="C34" i="14"/>
  <c r="D34" i="14"/>
  <c r="E34" i="14"/>
  <c r="F34" i="14"/>
  <c r="G34" i="14"/>
  <c r="H34" i="14"/>
  <c r="I34" i="14"/>
  <c r="J34" i="14"/>
  <c r="K34" i="14"/>
  <c r="L34" i="14"/>
  <c r="M34" i="14"/>
  <c r="C35" i="14"/>
  <c r="D35" i="14"/>
  <c r="E35" i="14"/>
  <c r="F35" i="14"/>
  <c r="G35" i="14"/>
  <c r="H35" i="14"/>
  <c r="I35" i="14"/>
  <c r="J35" i="14"/>
  <c r="K35" i="14"/>
  <c r="L35" i="14"/>
  <c r="M35" i="14"/>
  <c r="C36" i="14"/>
  <c r="D36" i="14"/>
  <c r="E36" i="14"/>
  <c r="F36" i="14"/>
  <c r="G36" i="14"/>
  <c r="H36" i="14"/>
  <c r="I36" i="14"/>
  <c r="J36" i="14"/>
  <c r="K36" i="14"/>
  <c r="L36" i="14"/>
  <c r="M36" i="14"/>
  <c r="C37" i="14"/>
  <c r="D37" i="14"/>
  <c r="E37" i="14"/>
  <c r="F37" i="14"/>
  <c r="G37" i="14"/>
  <c r="H37" i="14"/>
  <c r="I37" i="14"/>
  <c r="J37" i="14"/>
  <c r="K37" i="14"/>
  <c r="L37" i="14"/>
  <c r="M37" i="14"/>
  <c r="C38" i="14"/>
  <c r="D38" i="14"/>
  <c r="E38" i="14"/>
  <c r="F38" i="14"/>
  <c r="G38" i="14"/>
  <c r="H38" i="14"/>
  <c r="I38" i="14"/>
  <c r="J38" i="14"/>
  <c r="K38" i="14"/>
  <c r="L38" i="14"/>
  <c r="M38" i="14"/>
  <c r="C39" i="14"/>
  <c r="D39" i="14"/>
  <c r="E39" i="14"/>
  <c r="F39" i="14"/>
  <c r="G39" i="14"/>
  <c r="H39" i="14"/>
  <c r="I39" i="14"/>
  <c r="J39" i="14"/>
  <c r="K39" i="14"/>
  <c r="L39" i="14"/>
  <c r="M39" i="14"/>
  <c r="C40" i="14"/>
  <c r="D40" i="14"/>
  <c r="E40" i="14"/>
  <c r="F40" i="14"/>
  <c r="G40" i="14"/>
  <c r="H40" i="14"/>
  <c r="I40" i="14"/>
  <c r="J40" i="14"/>
  <c r="K40" i="14"/>
  <c r="L40" i="14"/>
  <c r="M40" i="14"/>
  <c r="C41" i="14"/>
  <c r="D41" i="14"/>
  <c r="E41" i="14"/>
  <c r="F41" i="14"/>
  <c r="G41" i="14"/>
  <c r="H41" i="14"/>
  <c r="I41" i="14"/>
  <c r="J41" i="14"/>
  <c r="K41" i="14"/>
  <c r="L41" i="14"/>
  <c r="M41" i="14"/>
  <c r="C42" i="14"/>
  <c r="D42" i="14"/>
  <c r="E42" i="14"/>
  <c r="F42" i="14"/>
  <c r="G42" i="14"/>
  <c r="H42" i="14"/>
  <c r="I42" i="14"/>
  <c r="J42" i="14"/>
  <c r="K42" i="14"/>
  <c r="L42" i="14"/>
  <c r="M42" i="14"/>
  <c r="C43" i="14"/>
  <c r="D43" i="14"/>
  <c r="E43" i="14"/>
  <c r="F43" i="14"/>
  <c r="G43" i="14"/>
  <c r="H43" i="14"/>
  <c r="I43" i="14"/>
  <c r="J43" i="14"/>
  <c r="K43" i="14"/>
  <c r="L43" i="14"/>
  <c r="M43" i="14"/>
  <c r="C44" i="14"/>
  <c r="D44" i="14"/>
  <c r="E44" i="14"/>
  <c r="F44" i="14"/>
  <c r="G44" i="14"/>
  <c r="H44" i="14"/>
  <c r="I44" i="14"/>
  <c r="J44" i="14"/>
  <c r="K44" i="14"/>
  <c r="L44" i="14"/>
  <c r="M44" i="14"/>
  <c r="C45" i="14"/>
  <c r="D45" i="14"/>
  <c r="E45" i="14"/>
  <c r="F45" i="14"/>
  <c r="G45" i="14"/>
  <c r="H45" i="14"/>
  <c r="I45" i="14"/>
  <c r="J45" i="14"/>
  <c r="K45" i="14"/>
  <c r="L45" i="14"/>
  <c r="M45" i="14"/>
  <c r="C46" i="14"/>
  <c r="D46" i="14"/>
  <c r="E46" i="14"/>
  <c r="F46" i="14"/>
  <c r="G46" i="14"/>
  <c r="H46" i="14"/>
  <c r="I46" i="14"/>
  <c r="J46" i="14"/>
  <c r="K46" i="14"/>
  <c r="L46" i="14"/>
  <c r="M46" i="14"/>
  <c r="C47" i="14"/>
  <c r="D47" i="14"/>
  <c r="E47" i="14"/>
  <c r="F47" i="14"/>
  <c r="G47" i="14"/>
  <c r="H47" i="14"/>
  <c r="I47" i="14"/>
  <c r="J47" i="14"/>
  <c r="K47" i="14"/>
  <c r="L47" i="14"/>
  <c r="M47" i="14"/>
  <c r="C48" i="14"/>
  <c r="D48" i="14"/>
  <c r="E48" i="14"/>
  <c r="F48" i="14"/>
  <c r="G48" i="14"/>
  <c r="H48" i="14"/>
  <c r="I48" i="14"/>
  <c r="J48" i="14"/>
  <c r="K48" i="14"/>
  <c r="L48" i="14"/>
  <c r="M48" i="14"/>
  <c r="C49" i="14"/>
  <c r="D49" i="14"/>
  <c r="E49" i="14"/>
  <c r="F49" i="14"/>
  <c r="G49" i="14"/>
  <c r="H49" i="14"/>
  <c r="I49" i="14"/>
  <c r="J49" i="14"/>
  <c r="K49" i="14"/>
  <c r="L49" i="14"/>
  <c r="M49" i="14"/>
  <c r="C50" i="14"/>
  <c r="D50" i="14"/>
  <c r="E50" i="14"/>
  <c r="F50" i="14"/>
  <c r="G50" i="14"/>
  <c r="H50" i="14"/>
  <c r="I50" i="14"/>
  <c r="J50" i="14"/>
  <c r="K50" i="14"/>
  <c r="L50" i="14"/>
  <c r="M50" i="14"/>
  <c r="C51" i="14"/>
  <c r="D51" i="14"/>
  <c r="E51" i="14"/>
  <c r="F51" i="14"/>
  <c r="G51" i="14"/>
  <c r="H51" i="14"/>
  <c r="I51" i="14"/>
  <c r="J51" i="14"/>
  <c r="K51" i="14"/>
  <c r="L51" i="14"/>
  <c r="M51" i="14"/>
  <c r="C52" i="14"/>
  <c r="D52" i="14"/>
  <c r="E52" i="14"/>
  <c r="F52" i="14"/>
  <c r="G52" i="14"/>
  <c r="H52" i="14"/>
  <c r="I52" i="14"/>
  <c r="J52" i="14"/>
  <c r="K52" i="14"/>
  <c r="L52" i="14"/>
  <c r="M52" i="14"/>
  <c r="C53" i="14"/>
  <c r="D53" i="14"/>
  <c r="E53" i="14"/>
  <c r="F53" i="14"/>
  <c r="G53" i="14"/>
  <c r="H53" i="14"/>
  <c r="I53" i="14"/>
  <c r="J53" i="14"/>
  <c r="K53" i="14"/>
  <c r="L53" i="14"/>
  <c r="M53" i="14"/>
  <c r="C54" i="14"/>
  <c r="D54" i="14"/>
  <c r="E54" i="14"/>
  <c r="F54" i="14"/>
  <c r="G54" i="14"/>
  <c r="H54" i="14"/>
  <c r="I54" i="14"/>
  <c r="J54" i="14"/>
  <c r="K54" i="14"/>
  <c r="L54" i="14"/>
  <c r="M54" i="14"/>
  <c r="C55" i="14"/>
  <c r="D55" i="14"/>
  <c r="E55" i="14"/>
  <c r="F55" i="14"/>
  <c r="G55" i="14"/>
  <c r="H55" i="14"/>
  <c r="I55" i="14"/>
  <c r="J55" i="14"/>
  <c r="K55" i="14"/>
  <c r="L55" i="14"/>
  <c r="M55" i="14"/>
  <c r="C56" i="14"/>
  <c r="D56" i="14"/>
  <c r="E56" i="14"/>
  <c r="F56" i="14"/>
  <c r="G56" i="14"/>
  <c r="H56" i="14"/>
  <c r="I56" i="14"/>
  <c r="J56" i="14"/>
  <c r="K56" i="14"/>
  <c r="L56" i="14"/>
  <c r="M56" i="14"/>
  <c r="C57" i="14"/>
  <c r="D57" i="14"/>
  <c r="E57" i="14"/>
  <c r="F57" i="14"/>
  <c r="G57" i="14"/>
  <c r="H57" i="14"/>
  <c r="I57" i="14"/>
  <c r="J57" i="14"/>
  <c r="K57" i="14"/>
  <c r="L57" i="14"/>
  <c r="M57" i="14"/>
  <c r="C58" i="14"/>
  <c r="D58" i="14"/>
  <c r="E58" i="14"/>
  <c r="F58" i="14"/>
  <c r="G58" i="14"/>
  <c r="H58" i="14"/>
  <c r="I58" i="14"/>
  <c r="J58" i="14"/>
  <c r="K58" i="14"/>
  <c r="L58" i="14"/>
  <c r="M58" i="14"/>
  <c r="C59" i="14"/>
  <c r="D59" i="14"/>
  <c r="E59" i="14"/>
  <c r="F59" i="14"/>
  <c r="G59" i="14"/>
  <c r="H59" i="14"/>
  <c r="I59" i="14"/>
  <c r="J59" i="14"/>
  <c r="K59" i="14"/>
  <c r="L59" i="14"/>
  <c r="M59" i="14"/>
  <c r="C60" i="14"/>
  <c r="D60" i="14"/>
  <c r="E60" i="14"/>
  <c r="F60" i="14"/>
  <c r="G60" i="14"/>
  <c r="H60" i="14"/>
  <c r="I60" i="14"/>
  <c r="J60" i="14"/>
  <c r="K60" i="14"/>
  <c r="L60" i="14"/>
  <c r="M60" i="14"/>
  <c r="C61" i="14"/>
  <c r="D61" i="14"/>
  <c r="E61" i="14"/>
  <c r="F61" i="14"/>
  <c r="G61" i="14"/>
  <c r="H61" i="14"/>
  <c r="I61" i="14"/>
  <c r="J61" i="14"/>
  <c r="K61" i="14"/>
  <c r="L61" i="14"/>
  <c r="M61" i="14"/>
  <c r="C62" i="14"/>
  <c r="D62" i="14"/>
  <c r="E62" i="14"/>
  <c r="F62" i="14"/>
  <c r="G62" i="14"/>
  <c r="H62" i="14"/>
  <c r="I62" i="14"/>
  <c r="J62" i="14"/>
  <c r="K62" i="14"/>
  <c r="L62" i="14"/>
  <c r="M62" i="14"/>
  <c r="C63" i="14"/>
  <c r="D63" i="14"/>
  <c r="E63" i="14"/>
  <c r="F63" i="14"/>
  <c r="G63" i="14"/>
  <c r="H63" i="14"/>
  <c r="I63" i="14"/>
  <c r="J63" i="14"/>
  <c r="K63" i="14"/>
  <c r="L63" i="14"/>
  <c r="M63" i="14"/>
  <c r="C64" i="14"/>
  <c r="D64" i="14"/>
  <c r="E64" i="14"/>
  <c r="F64" i="14"/>
  <c r="G64" i="14"/>
  <c r="H64" i="14"/>
  <c r="I64" i="14"/>
  <c r="J64" i="14"/>
  <c r="K64" i="14"/>
  <c r="L64" i="14"/>
  <c r="M64" i="14"/>
  <c r="C65" i="14"/>
  <c r="D65" i="14"/>
  <c r="E65" i="14"/>
  <c r="F65" i="14"/>
  <c r="G65" i="14"/>
  <c r="H65" i="14"/>
  <c r="I65" i="14"/>
  <c r="J65" i="14"/>
  <c r="K65" i="14"/>
  <c r="L65" i="14"/>
  <c r="M65" i="14"/>
  <c r="C66" i="14"/>
  <c r="D66" i="14"/>
  <c r="E66" i="14"/>
  <c r="F66" i="14"/>
  <c r="G66" i="14"/>
  <c r="H66" i="14"/>
  <c r="I66" i="14"/>
  <c r="J66" i="14"/>
  <c r="K66" i="14"/>
  <c r="L66" i="14"/>
  <c r="M66" i="14"/>
  <c r="C67" i="14"/>
  <c r="D67" i="14"/>
  <c r="E67" i="14"/>
  <c r="F67" i="14"/>
  <c r="G67" i="14"/>
  <c r="H67" i="14"/>
  <c r="I67" i="14"/>
  <c r="J67" i="14"/>
  <c r="K67" i="14"/>
  <c r="L67" i="14"/>
  <c r="M67" i="14"/>
  <c r="C68" i="14"/>
  <c r="D68" i="14"/>
  <c r="E68" i="14"/>
  <c r="F68" i="14"/>
  <c r="G68" i="14"/>
  <c r="H68" i="14"/>
  <c r="I68" i="14"/>
  <c r="J68" i="14"/>
  <c r="K68" i="14"/>
  <c r="L68" i="14"/>
  <c r="M68" i="14"/>
  <c r="C69" i="14"/>
  <c r="D69" i="14"/>
  <c r="E69" i="14"/>
  <c r="F69" i="14"/>
  <c r="G69" i="14"/>
  <c r="H69" i="14"/>
  <c r="I69" i="14"/>
  <c r="J69" i="14"/>
  <c r="K69" i="14"/>
  <c r="L69" i="14"/>
  <c r="M69" i="14"/>
  <c r="C70" i="14"/>
  <c r="D70" i="14"/>
  <c r="E70" i="14"/>
  <c r="F70" i="14"/>
  <c r="G70" i="14"/>
  <c r="H70" i="14"/>
  <c r="I70" i="14"/>
  <c r="J70" i="14"/>
  <c r="K70" i="14"/>
  <c r="L70" i="14"/>
  <c r="M70" i="14"/>
  <c r="C71" i="14"/>
  <c r="D71" i="14"/>
  <c r="E71" i="14"/>
  <c r="F71" i="14"/>
  <c r="G71" i="14"/>
  <c r="H71" i="14"/>
  <c r="I71" i="14"/>
  <c r="J71" i="14"/>
  <c r="K71" i="14"/>
  <c r="L71" i="14"/>
  <c r="M71" i="14"/>
  <c r="C72" i="14"/>
  <c r="D72" i="14"/>
  <c r="E72" i="14"/>
  <c r="F72" i="14"/>
  <c r="G72" i="14"/>
  <c r="H72" i="14"/>
  <c r="I72" i="14"/>
  <c r="J72" i="14"/>
  <c r="K72" i="14"/>
  <c r="L72" i="14"/>
  <c r="M72" i="14"/>
  <c r="C73" i="14"/>
  <c r="D73" i="14"/>
  <c r="E73" i="14"/>
  <c r="F73" i="14"/>
  <c r="G73" i="14"/>
  <c r="H73" i="14"/>
  <c r="I73" i="14"/>
  <c r="J73" i="14"/>
  <c r="K73" i="14"/>
  <c r="L73" i="14"/>
  <c r="M73" i="14"/>
  <c r="C74" i="14"/>
  <c r="D74" i="14"/>
  <c r="E74" i="14"/>
  <c r="F74" i="14"/>
  <c r="G74" i="14"/>
  <c r="H74" i="14"/>
  <c r="I74" i="14"/>
  <c r="J74" i="14"/>
  <c r="K74" i="14"/>
  <c r="L74" i="14"/>
  <c r="M74" i="14"/>
  <c r="C75" i="14"/>
  <c r="D75" i="14"/>
  <c r="E75" i="14"/>
  <c r="F75" i="14"/>
  <c r="G75" i="14"/>
  <c r="H75" i="14"/>
  <c r="I75" i="14"/>
  <c r="J75" i="14"/>
  <c r="K75" i="14"/>
  <c r="L75" i="14"/>
  <c r="M75" i="14"/>
  <c r="C76" i="14"/>
  <c r="D76" i="14"/>
  <c r="E76" i="14"/>
  <c r="F76" i="14"/>
  <c r="G76" i="14"/>
  <c r="H76" i="14"/>
  <c r="I76" i="14"/>
  <c r="J76" i="14"/>
  <c r="K76" i="14"/>
  <c r="L76" i="14"/>
  <c r="M76" i="14"/>
  <c r="C77" i="14"/>
  <c r="D77" i="14"/>
  <c r="E77" i="14"/>
  <c r="F77" i="14"/>
  <c r="G77" i="14"/>
  <c r="H77" i="14"/>
  <c r="I77" i="14"/>
  <c r="J77" i="14"/>
  <c r="K77" i="14"/>
  <c r="L77" i="14"/>
  <c r="M77" i="14"/>
  <c r="C78" i="14"/>
  <c r="D78" i="14"/>
  <c r="E78" i="14"/>
  <c r="F78" i="14"/>
  <c r="G78" i="14"/>
  <c r="H78" i="14"/>
  <c r="I78" i="14"/>
  <c r="J78" i="14"/>
  <c r="K78" i="14"/>
  <c r="L78" i="14"/>
  <c r="M78" i="14"/>
  <c r="C79" i="14"/>
  <c r="D79" i="14"/>
  <c r="E79" i="14"/>
  <c r="F79" i="14"/>
  <c r="G79" i="14"/>
  <c r="H79" i="14"/>
  <c r="I79" i="14"/>
  <c r="J79" i="14"/>
  <c r="K79" i="14"/>
  <c r="L79" i="14"/>
  <c r="M79" i="14"/>
  <c r="C80" i="14"/>
  <c r="D80" i="14"/>
  <c r="E80" i="14"/>
  <c r="F80" i="14"/>
  <c r="G80" i="14"/>
  <c r="H80" i="14"/>
  <c r="I80" i="14"/>
  <c r="J80" i="14"/>
  <c r="K80" i="14"/>
  <c r="L80" i="14"/>
  <c r="M80" i="14"/>
  <c r="C81" i="14"/>
  <c r="D81" i="14"/>
  <c r="E81" i="14"/>
  <c r="F81" i="14"/>
  <c r="G81" i="14"/>
  <c r="H81" i="14"/>
  <c r="I81" i="14"/>
  <c r="J81" i="14"/>
  <c r="K81" i="14"/>
  <c r="L81" i="14"/>
  <c r="M81" i="14"/>
  <c r="C82" i="14"/>
  <c r="D82" i="14"/>
  <c r="E82" i="14"/>
  <c r="F82" i="14"/>
  <c r="G82" i="14"/>
  <c r="H82" i="14"/>
  <c r="I82" i="14"/>
  <c r="J82" i="14"/>
  <c r="K82" i="14"/>
  <c r="L82" i="14"/>
  <c r="M82" i="14"/>
  <c r="C83" i="14"/>
  <c r="D83" i="14"/>
  <c r="E83" i="14"/>
  <c r="F83" i="14"/>
  <c r="G83" i="14"/>
  <c r="H83" i="14"/>
  <c r="I83" i="14"/>
  <c r="J83" i="14"/>
  <c r="K83" i="14"/>
  <c r="L83" i="14"/>
  <c r="M83" i="14"/>
  <c r="C84" i="14"/>
  <c r="D84" i="14"/>
  <c r="E84" i="14"/>
  <c r="F84" i="14"/>
  <c r="G84" i="14"/>
  <c r="H84" i="14"/>
  <c r="I84" i="14"/>
  <c r="J84" i="14"/>
  <c r="K84" i="14"/>
  <c r="L84" i="14"/>
  <c r="M84" i="14"/>
  <c r="C85" i="14"/>
  <c r="D85" i="14"/>
  <c r="E85" i="14"/>
  <c r="F85" i="14"/>
  <c r="G85" i="14"/>
  <c r="H85" i="14"/>
  <c r="I85" i="14"/>
  <c r="J85" i="14"/>
  <c r="K85" i="14"/>
  <c r="L85" i="14"/>
  <c r="M85" i="14"/>
  <c r="C86" i="14"/>
  <c r="D86" i="14"/>
  <c r="E86" i="14"/>
  <c r="F86" i="14"/>
  <c r="G86" i="14"/>
  <c r="H86" i="14"/>
  <c r="I86" i="14"/>
  <c r="J86" i="14"/>
  <c r="K86" i="14"/>
  <c r="L86" i="14"/>
  <c r="M86" i="14"/>
  <c r="C87" i="14"/>
  <c r="D87" i="14"/>
  <c r="E87" i="14"/>
  <c r="F87" i="14"/>
  <c r="G87" i="14"/>
  <c r="H87" i="14"/>
  <c r="I87" i="14"/>
  <c r="J87" i="14"/>
  <c r="K87" i="14"/>
  <c r="L87" i="14"/>
  <c r="M87" i="14"/>
  <c r="C88" i="14"/>
  <c r="D88" i="14"/>
  <c r="E88" i="14"/>
  <c r="F88" i="14"/>
  <c r="G88" i="14"/>
  <c r="H88" i="14"/>
  <c r="I88" i="14"/>
  <c r="J88" i="14"/>
  <c r="K88" i="14"/>
  <c r="L88" i="14"/>
  <c r="M88" i="14"/>
  <c r="C89" i="14"/>
  <c r="D89" i="14"/>
  <c r="E89" i="14"/>
  <c r="F89" i="14"/>
  <c r="G89" i="14"/>
  <c r="H89" i="14"/>
  <c r="I89" i="14"/>
  <c r="J89" i="14"/>
  <c r="K89" i="14"/>
  <c r="L89" i="14"/>
  <c r="M89" i="14"/>
  <c r="C90" i="14"/>
  <c r="D90" i="14"/>
  <c r="E90" i="14"/>
  <c r="F90" i="14"/>
  <c r="G90" i="14"/>
  <c r="H90" i="14"/>
  <c r="I90" i="14"/>
  <c r="J90" i="14"/>
  <c r="K90" i="14"/>
  <c r="L90" i="14"/>
  <c r="M90" i="14"/>
  <c r="C91" i="14"/>
  <c r="D91" i="14"/>
  <c r="E91" i="14"/>
  <c r="F91" i="14"/>
  <c r="G91" i="14"/>
  <c r="H91" i="14"/>
  <c r="I91" i="14"/>
  <c r="J91" i="14"/>
  <c r="K91" i="14"/>
  <c r="L91" i="14"/>
  <c r="M91" i="14"/>
  <c r="C92" i="14"/>
  <c r="D92" i="14"/>
  <c r="E92" i="14"/>
  <c r="F92" i="14"/>
  <c r="G92" i="14"/>
  <c r="H92" i="14"/>
  <c r="I92" i="14"/>
  <c r="J92" i="14"/>
  <c r="K92" i="14"/>
  <c r="L92" i="14"/>
  <c r="M92" i="14"/>
  <c r="C93" i="14"/>
  <c r="D93" i="14"/>
  <c r="E93" i="14"/>
  <c r="F93" i="14"/>
  <c r="G93" i="14"/>
  <c r="H93" i="14"/>
  <c r="I93" i="14"/>
  <c r="J93" i="14"/>
  <c r="K93" i="14"/>
  <c r="L93" i="14"/>
  <c r="M93" i="14"/>
  <c r="C94" i="14"/>
  <c r="D94" i="14"/>
  <c r="E94" i="14"/>
  <c r="F94" i="14"/>
  <c r="G94" i="14"/>
  <c r="H94" i="14"/>
  <c r="I94" i="14"/>
  <c r="J94" i="14"/>
  <c r="K94" i="14"/>
  <c r="L94" i="14"/>
  <c r="M94" i="14"/>
  <c r="C95" i="14"/>
  <c r="D95" i="14"/>
  <c r="E95" i="14"/>
  <c r="F95" i="14"/>
  <c r="G95" i="14"/>
  <c r="H95" i="14"/>
  <c r="I95" i="14"/>
  <c r="J95" i="14"/>
  <c r="K95" i="14"/>
  <c r="L95" i="14"/>
  <c r="M95" i="14"/>
  <c r="C96" i="14"/>
  <c r="D96" i="14"/>
  <c r="E96" i="14"/>
  <c r="F96" i="14"/>
  <c r="G96" i="14"/>
  <c r="H96" i="14"/>
  <c r="I96" i="14"/>
  <c r="J96" i="14"/>
  <c r="K96" i="14"/>
  <c r="L96" i="14"/>
  <c r="M96" i="14"/>
  <c r="M15" i="14"/>
  <c r="L15" i="14"/>
  <c r="K15" i="14"/>
  <c r="J15" i="14"/>
  <c r="I15" i="14"/>
  <c r="H15" i="14"/>
  <c r="G15" i="14"/>
  <c r="F15" i="14"/>
  <c r="E15" i="14"/>
  <c r="D15" i="14"/>
  <c r="C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15" i="14"/>
  <c r="M98" i="14"/>
  <c r="L98" i="14"/>
  <c r="K98" i="14"/>
  <c r="J98" i="14"/>
  <c r="I98" i="14"/>
  <c r="H98" i="14"/>
  <c r="G98" i="14"/>
  <c r="F98" i="14"/>
  <c r="E98" i="14"/>
  <c r="D98" i="14"/>
  <c r="C98" i="14"/>
  <c r="B98" i="14"/>
  <c r="O96" i="14"/>
  <c r="O95" i="14"/>
  <c r="O94" i="14"/>
  <c r="O93" i="14"/>
  <c r="O92" i="14"/>
  <c r="O91" i="14"/>
  <c r="O90" i="14"/>
  <c r="O89" i="14"/>
  <c r="O88" i="14"/>
  <c r="O87" i="14"/>
  <c r="O86" i="14"/>
  <c r="O85" i="14"/>
  <c r="O84" i="14"/>
  <c r="O83" i="14"/>
  <c r="O82" i="14"/>
  <c r="O81" i="14"/>
  <c r="O80" i="14"/>
  <c r="O79" i="14"/>
  <c r="O78" i="14"/>
  <c r="O77" i="14"/>
  <c r="O76" i="14"/>
  <c r="O75" i="14"/>
  <c r="O74" i="14"/>
  <c r="O73" i="14"/>
  <c r="O72" i="14"/>
  <c r="O71" i="14"/>
  <c r="O70" i="14"/>
  <c r="O69" i="14"/>
  <c r="O68" i="14"/>
  <c r="O67" i="14"/>
  <c r="O66" i="14"/>
  <c r="O65" i="14"/>
  <c r="O64" i="14"/>
  <c r="O63" i="14"/>
  <c r="O62" i="14"/>
  <c r="O61" i="14"/>
  <c r="O60" i="14"/>
  <c r="O59" i="14"/>
  <c r="O58" i="14"/>
  <c r="O57" i="14"/>
  <c r="O56" i="14"/>
  <c r="O55" i="14"/>
  <c r="O54" i="14"/>
  <c r="O53" i="14"/>
  <c r="O52" i="14"/>
  <c r="O51" i="14"/>
  <c r="O50" i="14"/>
  <c r="O49" i="14"/>
  <c r="O48" i="14"/>
  <c r="O47" i="14"/>
  <c r="O46" i="14"/>
  <c r="O45" i="14"/>
  <c r="O44" i="14"/>
  <c r="O43" i="14"/>
  <c r="O42" i="14"/>
  <c r="O41" i="14"/>
  <c r="O40" i="14"/>
  <c r="O39" i="14"/>
  <c r="O38" i="14"/>
  <c r="O37" i="14"/>
  <c r="O36" i="14"/>
  <c r="O35" i="14"/>
  <c r="O34" i="14"/>
  <c r="O33" i="14"/>
  <c r="O32" i="14"/>
  <c r="O31" i="14"/>
  <c r="O30" i="14"/>
  <c r="O29" i="14"/>
  <c r="O28" i="14"/>
  <c r="O27" i="14"/>
  <c r="O26" i="14"/>
  <c r="O25" i="14"/>
  <c r="O24" i="14"/>
  <c r="O23" i="14"/>
  <c r="O22" i="14"/>
  <c r="O21" i="14"/>
  <c r="O20" i="14"/>
  <c r="O19" i="14"/>
  <c r="O18" i="14"/>
  <c r="O17" i="14"/>
  <c r="O16" i="14"/>
  <c r="O15" i="14"/>
  <c r="M16" i="13"/>
  <c r="M17" i="13"/>
  <c r="M18" i="13"/>
  <c r="M19" i="13"/>
  <c r="M20" i="13"/>
  <c r="M21" i="13"/>
  <c r="M22" i="13"/>
  <c r="M23" i="13"/>
  <c r="M24" i="13"/>
  <c r="M25" i="13"/>
  <c r="M26" i="13"/>
  <c r="M27" i="13"/>
  <c r="M28" i="13"/>
  <c r="M29" i="13"/>
  <c r="M30" i="13"/>
  <c r="M31" i="13"/>
  <c r="M32" i="13"/>
  <c r="M33" i="13"/>
  <c r="M34" i="13"/>
  <c r="M35" i="13"/>
  <c r="M36" i="13"/>
  <c r="M37" i="13"/>
  <c r="M38" i="13"/>
  <c r="M39" i="13"/>
  <c r="M40" i="13"/>
  <c r="M41" i="13"/>
  <c r="M42" i="13"/>
  <c r="M43" i="13"/>
  <c r="M44" i="13"/>
  <c r="M45" i="13"/>
  <c r="M46" i="13"/>
  <c r="M47" i="13"/>
  <c r="M48" i="13"/>
  <c r="M49" i="13"/>
  <c r="M50" i="13"/>
  <c r="M51" i="13"/>
  <c r="M52" i="13"/>
  <c r="M53" i="13"/>
  <c r="M54" i="13"/>
  <c r="M55" i="13"/>
  <c r="M56" i="13"/>
  <c r="M57" i="13"/>
  <c r="M58" i="13"/>
  <c r="M59" i="13"/>
  <c r="M60" i="13"/>
  <c r="M61" i="13"/>
  <c r="M62" i="13"/>
  <c r="M63" i="13"/>
  <c r="M64" i="13"/>
  <c r="M65" i="13"/>
  <c r="M66" i="13"/>
  <c r="M67" i="13"/>
  <c r="M68" i="13"/>
  <c r="M69" i="13"/>
  <c r="M70" i="13"/>
  <c r="M71" i="13"/>
  <c r="M72" i="13"/>
  <c r="M73" i="13"/>
  <c r="M74" i="13"/>
  <c r="M75" i="13"/>
  <c r="M76" i="13"/>
  <c r="M77" i="13"/>
  <c r="M78" i="13"/>
  <c r="M79" i="13"/>
  <c r="M80" i="13"/>
  <c r="M81" i="13"/>
  <c r="M82" i="13"/>
  <c r="M83" i="13"/>
  <c r="M84" i="13"/>
  <c r="M85" i="13"/>
  <c r="M86" i="13"/>
  <c r="M87" i="13"/>
  <c r="M88" i="13"/>
  <c r="M89" i="13"/>
  <c r="M90" i="13"/>
  <c r="M91" i="13"/>
  <c r="M92" i="13"/>
  <c r="M93" i="13"/>
  <c r="M94" i="13"/>
  <c r="M95" i="13"/>
  <c r="M96" i="13"/>
  <c r="M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L46" i="13"/>
  <c r="L47" i="13"/>
  <c r="L48" i="13"/>
  <c r="L49" i="13"/>
  <c r="L50" i="13"/>
  <c r="L51" i="13"/>
  <c r="L52" i="13"/>
  <c r="L53" i="13"/>
  <c r="L54" i="13"/>
  <c r="L55" i="13"/>
  <c r="L56" i="13"/>
  <c r="L57" i="13"/>
  <c r="L58" i="13"/>
  <c r="L59" i="13"/>
  <c r="L60" i="13"/>
  <c r="L61" i="13"/>
  <c r="L62" i="13"/>
  <c r="L63" i="13"/>
  <c r="L64" i="13"/>
  <c r="L65" i="13"/>
  <c r="L66" i="13"/>
  <c r="L67" i="13"/>
  <c r="L68" i="13"/>
  <c r="L69" i="13"/>
  <c r="L70" i="13"/>
  <c r="L71" i="13"/>
  <c r="L72" i="13"/>
  <c r="L73" i="13"/>
  <c r="L74" i="13"/>
  <c r="L75" i="13"/>
  <c r="L76" i="13"/>
  <c r="L77" i="13"/>
  <c r="L78" i="13"/>
  <c r="L79" i="13"/>
  <c r="L80" i="13"/>
  <c r="L81" i="13"/>
  <c r="L82" i="13"/>
  <c r="L83" i="13"/>
  <c r="L84" i="13"/>
  <c r="L85" i="13"/>
  <c r="L86" i="13"/>
  <c r="L87" i="13"/>
  <c r="L88" i="13"/>
  <c r="L89" i="13"/>
  <c r="L90" i="13"/>
  <c r="L91" i="13"/>
  <c r="L92" i="13"/>
  <c r="L93" i="13"/>
  <c r="L94" i="13"/>
  <c r="L95" i="13"/>
  <c r="L96" i="13"/>
  <c r="L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61" i="13"/>
  <c r="K62" i="13"/>
  <c r="K63" i="13"/>
  <c r="K64" i="13"/>
  <c r="K65" i="13"/>
  <c r="K66" i="13"/>
  <c r="K67" i="13"/>
  <c r="K68" i="13"/>
  <c r="K69" i="13"/>
  <c r="K70" i="13"/>
  <c r="K71" i="13"/>
  <c r="K72" i="13"/>
  <c r="K73" i="13"/>
  <c r="K74" i="13"/>
  <c r="K75" i="13"/>
  <c r="K76" i="13"/>
  <c r="K77" i="13"/>
  <c r="K78" i="13"/>
  <c r="K79" i="13"/>
  <c r="K80" i="13"/>
  <c r="K81" i="13"/>
  <c r="K82" i="13"/>
  <c r="K83" i="13"/>
  <c r="K84" i="13"/>
  <c r="K85" i="13"/>
  <c r="K86" i="13"/>
  <c r="K87" i="13"/>
  <c r="K88" i="13"/>
  <c r="K89" i="13"/>
  <c r="K90" i="13"/>
  <c r="K91" i="13"/>
  <c r="K92" i="13"/>
  <c r="K93" i="13"/>
  <c r="K94" i="13"/>
  <c r="K95" i="13"/>
  <c r="K96" i="13"/>
  <c r="K15" i="13"/>
  <c r="J16" i="13"/>
  <c r="J17" i="13"/>
  <c r="J18" i="13"/>
  <c r="J19" i="13"/>
  <c r="J20" i="13"/>
  <c r="J21" i="13"/>
  <c r="J22" i="13"/>
  <c r="J23" i="13"/>
  <c r="J24" i="13"/>
  <c r="J25" i="13"/>
  <c r="J26" i="13"/>
  <c r="J27" i="13"/>
  <c r="J28" i="13"/>
  <c r="J29" i="13"/>
  <c r="J30" i="13"/>
  <c r="J31" i="13"/>
  <c r="J32" i="13"/>
  <c r="J33" i="13"/>
  <c r="J34" i="13"/>
  <c r="J35" i="13"/>
  <c r="J36" i="13"/>
  <c r="J37" i="13"/>
  <c r="J38" i="13"/>
  <c r="J39" i="13"/>
  <c r="J40" i="13"/>
  <c r="J41" i="13"/>
  <c r="J42" i="13"/>
  <c r="J43" i="13"/>
  <c r="J44" i="13"/>
  <c r="J45" i="13"/>
  <c r="J46" i="13"/>
  <c r="J47" i="13"/>
  <c r="J48" i="13"/>
  <c r="J49" i="13"/>
  <c r="J50" i="13"/>
  <c r="J51" i="13"/>
  <c r="J52" i="13"/>
  <c r="J53" i="13"/>
  <c r="J54" i="13"/>
  <c r="J55" i="13"/>
  <c r="J56" i="13"/>
  <c r="J57" i="13"/>
  <c r="J58" i="13"/>
  <c r="J59" i="13"/>
  <c r="J60" i="13"/>
  <c r="J61" i="13"/>
  <c r="J62" i="13"/>
  <c r="J63" i="13"/>
  <c r="J64" i="13"/>
  <c r="J65" i="13"/>
  <c r="J66" i="13"/>
  <c r="J67" i="13"/>
  <c r="J68" i="13"/>
  <c r="J69" i="13"/>
  <c r="J70" i="13"/>
  <c r="J71" i="13"/>
  <c r="J72" i="13"/>
  <c r="J73" i="13"/>
  <c r="J74" i="13"/>
  <c r="J75" i="13"/>
  <c r="J76" i="13"/>
  <c r="J77" i="13"/>
  <c r="J78" i="13"/>
  <c r="J79" i="13"/>
  <c r="J80" i="13"/>
  <c r="J81" i="13"/>
  <c r="J82" i="13"/>
  <c r="J83" i="13"/>
  <c r="J84" i="13"/>
  <c r="J85" i="13"/>
  <c r="J86" i="13"/>
  <c r="J87" i="13"/>
  <c r="J88" i="13"/>
  <c r="J89" i="13"/>
  <c r="J90" i="13"/>
  <c r="J91" i="13"/>
  <c r="J92" i="13"/>
  <c r="J93" i="13"/>
  <c r="J94" i="13"/>
  <c r="J95" i="13"/>
  <c r="J96" i="13"/>
  <c r="J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15"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4" i="13"/>
  <c r="G55" i="13"/>
  <c r="G56" i="13"/>
  <c r="G57" i="13"/>
  <c r="G58" i="13"/>
  <c r="G59" i="13"/>
  <c r="G60" i="13"/>
  <c r="G61" i="13"/>
  <c r="G62" i="13"/>
  <c r="G63" i="13"/>
  <c r="G64" i="13"/>
  <c r="G65" i="13"/>
  <c r="G66" i="13"/>
  <c r="G67" i="13"/>
  <c r="G68" i="13"/>
  <c r="G69" i="13"/>
  <c r="G70" i="13"/>
  <c r="G71" i="13"/>
  <c r="G72" i="13"/>
  <c r="G73" i="13"/>
  <c r="G74" i="13"/>
  <c r="G75" i="13"/>
  <c r="G76" i="13"/>
  <c r="G77" i="13"/>
  <c r="G78" i="13"/>
  <c r="G79" i="13"/>
  <c r="G80" i="13"/>
  <c r="G81" i="13"/>
  <c r="G82" i="13"/>
  <c r="G83" i="13"/>
  <c r="G84" i="13"/>
  <c r="G85" i="13"/>
  <c r="G86" i="13"/>
  <c r="G87" i="13"/>
  <c r="G88" i="13"/>
  <c r="G89" i="13"/>
  <c r="G90" i="13"/>
  <c r="G91" i="13"/>
  <c r="G92" i="13"/>
  <c r="G93" i="13"/>
  <c r="G94" i="13"/>
  <c r="G95" i="13"/>
  <c r="G96"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70" i="13"/>
  <c r="F71" i="13"/>
  <c r="F72" i="13"/>
  <c r="F73" i="13"/>
  <c r="F74" i="13"/>
  <c r="F75" i="13"/>
  <c r="F76" i="13"/>
  <c r="F77" i="13"/>
  <c r="F78" i="13"/>
  <c r="F79" i="13"/>
  <c r="F80" i="13"/>
  <c r="F81" i="13"/>
  <c r="F82" i="13"/>
  <c r="F83" i="13"/>
  <c r="F84" i="13"/>
  <c r="F85" i="13"/>
  <c r="F86" i="13"/>
  <c r="F87" i="13"/>
  <c r="F88" i="13"/>
  <c r="F89" i="13"/>
  <c r="F90" i="13"/>
  <c r="F91" i="13"/>
  <c r="F92" i="13"/>
  <c r="F93" i="13"/>
  <c r="F94" i="13"/>
  <c r="F95" i="13"/>
  <c r="F96" i="13"/>
  <c r="F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C51" i="13"/>
  <c r="C52" i="13"/>
  <c r="C53" i="13"/>
  <c r="C54" i="13"/>
  <c r="C55" i="13"/>
  <c r="C56" i="13"/>
  <c r="C57" i="13"/>
  <c r="C58" i="13"/>
  <c r="C59" i="13"/>
  <c r="C60" i="13"/>
  <c r="C61" i="13"/>
  <c r="C62" i="13"/>
  <c r="C63" i="13"/>
  <c r="C64" i="13"/>
  <c r="C65" i="13"/>
  <c r="C66" i="13"/>
  <c r="C67" i="13"/>
  <c r="C68" i="13"/>
  <c r="C69" i="13"/>
  <c r="C70" i="13"/>
  <c r="C71" i="13"/>
  <c r="C72" i="13"/>
  <c r="C73" i="13"/>
  <c r="C74" i="13"/>
  <c r="C75" i="13"/>
  <c r="C76" i="13"/>
  <c r="C77" i="13"/>
  <c r="C78" i="13"/>
  <c r="C79" i="13"/>
  <c r="C80" i="13"/>
  <c r="C81" i="13"/>
  <c r="C82" i="13"/>
  <c r="C83" i="13"/>
  <c r="C84" i="13"/>
  <c r="C85" i="13"/>
  <c r="C86" i="13"/>
  <c r="C87" i="13"/>
  <c r="C88" i="13"/>
  <c r="C89" i="13"/>
  <c r="C90" i="13"/>
  <c r="C91" i="13"/>
  <c r="C92" i="13"/>
  <c r="C93" i="13"/>
  <c r="C94" i="13"/>
  <c r="C95" i="13"/>
  <c r="C96" i="13"/>
  <c r="C15"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O96" i="13"/>
  <c r="O95" i="13"/>
  <c r="O94" i="13"/>
  <c r="O93" i="13"/>
  <c r="O92" i="13"/>
  <c r="O91" i="13"/>
  <c r="O90" i="13"/>
  <c r="O89" i="13"/>
  <c r="O88" i="13"/>
  <c r="O87" i="13"/>
  <c r="O86" i="13"/>
  <c r="O85" i="13"/>
  <c r="O84" i="13"/>
  <c r="O83" i="13"/>
  <c r="O82" i="13"/>
  <c r="O81" i="13"/>
  <c r="O80" i="13"/>
  <c r="O79" i="13"/>
  <c r="O78" i="13"/>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22" i="13"/>
  <c r="O21" i="13"/>
  <c r="O20" i="13"/>
  <c r="O19" i="13"/>
  <c r="O18" i="13"/>
  <c r="O17" i="13"/>
  <c r="O16" i="13"/>
  <c r="O15" i="13"/>
  <c r="B16" i="16"/>
  <c r="C16" i="16"/>
  <c r="D16" i="16"/>
  <c r="E16" i="16"/>
  <c r="F16" i="16"/>
  <c r="G16" i="16"/>
  <c r="H16" i="16"/>
  <c r="I16" i="16"/>
  <c r="J16" i="16"/>
  <c r="K16" i="16"/>
  <c r="L16" i="16"/>
  <c r="M16" i="16"/>
  <c r="B17" i="16"/>
  <c r="C17" i="16"/>
  <c r="D17" i="16"/>
  <c r="E17" i="16"/>
  <c r="F17" i="16"/>
  <c r="G17" i="16"/>
  <c r="H17" i="16"/>
  <c r="I17" i="16"/>
  <c r="J17" i="16"/>
  <c r="K17" i="16"/>
  <c r="L17" i="16"/>
  <c r="M17" i="16"/>
  <c r="B18" i="16"/>
  <c r="C18" i="16"/>
  <c r="D18" i="16"/>
  <c r="E18" i="16"/>
  <c r="F18" i="16"/>
  <c r="G18" i="16"/>
  <c r="H18" i="16"/>
  <c r="I18" i="16"/>
  <c r="J18" i="16"/>
  <c r="K18" i="16"/>
  <c r="L18" i="16"/>
  <c r="M18" i="16"/>
  <c r="B19" i="16"/>
  <c r="C19" i="16"/>
  <c r="D19" i="16"/>
  <c r="E19" i="16"/>
  <c r="F19" i="16"/>
  <c r="G19" i="16"/>
  <c r="H19" i="16"/>
  <c r="I19" i="16"/>
  <c r="J19" i="16"/>
  <c r="K19" i="16"/>
  <c r="L19" i="16"/>
  <c r="M19" i="16"/>
  <c r="B20" i="16"/>
  <c r="C20" i="16"/>
  <c r="D20" i="16"/>
  <c r="E20" i="16"/>
  <c r="F20" i="16"/>
  <c r="G20" i="16"/>
  <c r="H20" i="16"/>
  <c r="I20" i="16"/>
  <c r="J20" i="16"/>
  <c r="K20" i="16"/>
  <c r="L20" i="16"/>
  <c r="M20" i="16"/>
  <c r="B21" i="16"/>
  <c r="C21" i="16"/>
  <c r="D21" i="16"/>
  <c r="E21" i="16"/>
  <c r="F21" i="16"/>
  <c r="G21" i="16"/>
  <c r="H21" i="16"/>
  <c r="I21" i="16"/>
  <c r="J21" i="16"/>
  <c r="K21" i="16"/>
  <c r="L21" i="16"/>
  <c r="M21" i="16"/>
  <c r="B22" i="16"/>
  <c r="C22" i="16"/>
  <c r="D22" i="16"/>
  <c r="E22" i="16"/>
  <c r="F22" i="16"/>
  <c r="G22" i="16"/>
  <c r="H22" i="16"/>
  <c r="I22" i="16"/>
  <c r="J22" i="16"/>
  <c r="K22" i="16"/>
  <c r="L22" i="16"/>
  <c r="M22" i="16"/>
  <c r="B23" i="16"/>
  <c r="C23" i="16"/>
  <c r="D23" i="16"/>
  <c r="E23" i="16"/>
  <c r="F23" i="16"/>
  <c r="G23" i="16"/>
  <c r="H23" i="16"/>
  <c r="I23" i="16"/>
  <c r="J23" i="16"/>
  <c r="K23" i="16"/>
  <c r="L23" i="16"/>
  <c r="M23" i="16"/>
  <c r="B24" i="16"/>
  <c r="C24" i="16"/>
  <c r="D24" i="16"/>
  <c r="E24" i="16"/>
  <c r="F24" i="16"/>
  <c r="G24" i="16"/>
  <c r="H24" i="16"/>
  <c r="I24" i="16"/>
  <c r="J24" i="16"/>
  <c r="K24" i="16"/>
  <c r="L24" i="16"/>
  <c r="M24" i="16"/>
  <c r="B25" i="16"/>
  <c r="C25" i="16"/>
  <c r="D25" i="16"/>
  <c r="E25" i="16"/>
  <c r="F25" i="16"/>
  <c r="G25" i="16"/>
  <c r="H25" i="16"/>
  <c r="I25" i="16"/>
  <c r="J25" i="16"/>
  <c r="K25" i="16"/>
  <c r="L25" i="16"/>
  <c r="M25" i="16"/>
  <c r="B26" i="16"/>
  <c r="C26" i="16"/>
  <c r="D26" i="16"/>
  <c r="E26" i="16"/>
  <c r="F26" i="16"/>
  <c r="G26" i="16"/>
  <c r="H26" i="16"/>
  <c r="I26" i="16"/>
  <c r="J26" i="16"/>
  <c r="K26" i="16"/>
  <c r="L26" i="16"/>
  <c r="M26" i="16"/>
  <c r="B27" i="16"/>
  <c r="C27" i="16"/>
  <c r="D27" i="16"/>
  <c r="E27" i="16"/>
  <c r="F27" i="16"/>
  <c r="G27" i="16"/>
  <c r="H27" i="16"/>
  <c r="I27" i="16"/>
  <c r="J27" i="16"/>
  <c r="K27" i="16"/>
  <c r="L27" i="16"/>
  <c r="M27" i="16"/>
  <c r="B28" i="16"/>
  <c r="C28" i="16"/>
  <c r="D28" i="16"/>
  <c r="E28" i="16"/>
  <c r="F28" i="16"/>
  <c r="G28" i="16"/>
  <c r="H28" i="16"/>
  <c r="I28" i="16"/>
  <c r="J28" i="16"/>
  <c r="K28" i="16"/>
  <c r="L28" i="16"/>
  <c r="M28" i="16"/>
  <c r="B29" i="16"/>
  <c r="C29" i="16"/>
  <c r="D29" i="16"/>
  <c r="E29" i="16"/>
  <c r="F29" i="16"/>
  <c r="G29" i="16"/>
  <c r="H29" i="16"/>
  <c r="I29" i="16"/>
  <c r="J29" i="16"/>
  <c r="K29" i="16"/>
  <c r="L29" i="16"/>
  <c r="M29" i="16"/>
  <c r="B30" i="16"/>
  <c r="C30" i="16"/>
  <c r="D30" i="16"/>
  <c r="E30" i="16"/>
  <c r="F30" i="16"/>
  <c r="G30" i="16"/>
  <c r="H30" i="16"/>
  <c r="I30" i="16"/>
  <c r="J30" i="16"/>
  <c r="K30" i="16"/>
  <c r="L30" i="16"/>
  <c r="M30" i="16"/>
  <c r="B31" i="16"/>
  <c r="C31" i="16"/>
  <c r="D31" i="16"/>
  <c r="E31" i="16"/>
  <c r="F31" i="16"/>
  <c r="G31" i="16"/>
  <c r="H31" i="16"/>
  <c r="I31" i="16"/>
  <c r="J31" i="16"/>
  <c r="K31" i="16"/>
  <c r="L31" i="16"/>
  <c r="M31" i="16"/>
  <c r="B32" i="16"/>
  <c r="C32" i="16"/>
  <c r="D32" i="16"/>
  <c r="E32" i="16"/>
  <c r="F32" i="16"/>
  <c r="G32" i="16"/>
  <c r="H32" i="16"/>
  <c r="I32" i="16"/>
  <c r="J32" i="16"/>
  <c r="K32" i="16"/>
  <c r="L32" i="16"/>
  <c r="M32" i="16"/>
  <c r="B33" i="16"/>
  <c r="C33" i="16"/>
  <c r="D33" i="16"/>
  <c r="E33" i="16"/>
  <c r="F33" i="16"/>
  <c r="G33" i="16"/>
  <c r="H33" i="16"/>
  <c r="I33" i="16"/>
  <c r="J33" i="16"/>
  <c r="K33" i="16"/>
  <c r="L33" i="16"/>
  <c r="M33" i="16"/>
  <c r="B34" i="16"/>
  <c r="C34" i="16"/>
  <c r="D34" i="16"/>
  <c r="E34" i="16"/>
  <c r="F34" i="16"/>
  <c r="G34" i="16"/>
  <c r="H34" i="16"/>
  <c r="I34" i="16"/>
  <c r="J34" i="16"/>
  <c r="K34" i="16"/>
  <c r="L34" i="16"/>
  <c r="M34" i="16"/>
  <c r="B35" i="16"/>
  <c r="C35" i="16"/>
  <c r="D35" i="16"/>
  <c r="E35" i="16"/>
  <c r="F35" i="16"/>
  <c r="G35" i="16"/>
  <c r="H35" i="16"/>
  <c r="I35" i="16"/>
  <c r="J35" i="16"/>
  <c r="K35" i="16"/>
  <c r="L35" i="16"/>
  <c r="M35" i="16"/>
  <c r="B36" i="16"/>
  <c r="C36" i="16"/>
  <c r="D36" i="16"/>
  <c r="E36" i="16"/>
  <c r="F36" i="16"/>
  <c r="G36" i="16"/>
  <c r="H36" i="16"/>
  <c r="I36" i="16"/>
  <c r="J36" i="16"/>
  <c r="K36" i="16"/>
  <c r="L36" i="16"/>
  <c r="M36" i="16"/>
  <c r="B37" i="16"/>
  <c r="C37" i="16"/>
  <c r="D37" i="16"/>
  <c r="E37" i="16"/>
  <c r="F37" i="16"/>
  <c r="G37" i="16"/>
  <c r="H37" i="16"/>
  <c r="I37" i="16"/>
  <c r="J37" i="16"/>
  <c r="K37" i="16"/>
  <c r="L37" i="16"/>
  <c r="M37" i="16"/>
  <c r="B38" i="16"/>
  <c r="C38" i="16"/>
  <c r="D38" i="16"/>
  <c r="E38" i="16"/>
  <c r="F38" i="16"/>
  <c r="G38" i="16"/>
  <c r="H38" i="16"/>
  <c r="I38" i="16"/>
  <c r="J38" i="16"/>
  <c r="K38" i="16"/>
  <c r="L38" i="16"/>
  <c r="M38" i="16"/>
  <c r="B39" i="16"/>
  <c r="C39" i="16"/>
  <c r="D39" i="16"/>
  <c r="E39" i="16"/>
  <c r="F39" i="16"/>
  <c r="G39" i="16"/>
  <c r="H39" i="16"/>
  <c r="I39" i="16"/>
  <c r="J39" i="16"/>
  <c r="K39" i="16"/>
  <c r="L39" i="16"/>
  <c r="M39" i="16"/>
  <c r="B40" i="16"/>
  <c r="C40" i="16"/>
  <c r="D40" i="16"/>
  <c r="E40" i="16"/>
  <c r="F40" i="16"/>
  <c r="G40" i="16"/>
  <c r="H40" i="16"/>
  <c r="I40" i="16"/>
  <c r="J40" i="16"/>
  <c r="K40" i="16"/>
  <c r="L40" i="16"/>
  <c r="M40" i="16"/>
  <c r="B41" i="16"/>
  <c r="C41" i="16"/>
  <c r="D41" i="16"/>
  <c r="E41" i="16"/>
  <c r="F41" i="16"/>
  <c r="G41" i="16"/>
  <c r="H41" i="16"/>
  <c r="I41" i="16"/>
  <c r="J41" i="16"/>
  <c r="K41" i="16"/>
  <c r="L41" i="16"/>
  <c r="M41" i="16"/>
  <c r="B42" i="16"/>
  <c r="C42" i="16"/>
  <c r="D42" i="16"/>
  <c r="E42" i="16"/>
  <c r="F42" i="16"/>
  <c r="G42" i="16"/>
  <c r="H42" i="16"/>
  <c r="I42" i="16"/>
  <c r="J42" i="16"/>
  <c r="K42" i="16"/>
  <c r="L42" i="16"/>
  <c r="M42" i="16"/>
  <c r="B43" i="16"/>
  <c r="C43" i="16"/>
  <c r="D43" i="16"/>
  <c r="E43" i="16"/>
  <c r="F43" i="16"/>
  <c r="G43" i="16"/>
  <c r="H43" i="16"/>
  <c r="I43" i="16"/>
  <c r="J43" i="16"/>
  <c r="K43" i="16"/>
  <c r="L43" i="16"/>
  <c r="M43" i="16"/>
  <c r="B44" i="16"/>
  <c r="C44" i="16"/>
  <c r="D44" i="16"/>
  <c r="E44" i="16"/>
  <c r="F44" i="16"/>
  <c r="G44" i="16"/>
  <c r="H44" i="16"/>
  <c r="I44" i="16"/>
  <c r="J44" i="16"/>
  <c r="K44" i="16"/>
  <c r="L44" i="16"/>
  <c r="M44" i="16"/>
  <c r="B45" i="16"/>
  <c r="C45" i="16"/>
  <c r="D45" i="16"/>
  <c r="E45" i="16"/>
  <c r="F45" i="16"/>
  <c r="G45" i="16"/>
  <c r="H45" i="16"/>
  <c r="I45" i="16"/>
  <c r="J45" i="16"/>
  <c r="K45" i="16"/>
  <c r="L45" i="16"/>
  <c r="M45" i="16"/>
  <c r="B46" i="16"/>
  <c r="C46" i="16"/>
  <c r="D46" i="16"/>
  <c r="E46" i="16"/>
  <c r="F46" i="16"/>
  <c r="G46" i="16"/>
  <c r="H46" i="16"/>
  <c r="I46" i="16"/>
  <c r="J46" i="16"/>
  <c r="K46" i="16"/>
  <c r="L46" i="16"/>
  <c r="M46" i="16"/>
  <c r="B47" i="16"/>
  <c r="C47" i="16"/>
  <c r="D47" i="16"/>
  <c r="E47" i="16"/>
  <c r="F47" i="16"/>
  <c r="G47" i="16"/>
  <c r="H47" i="16"/>
  <c r="I47" i="16"/>
  <c r="J47" i="16"/>
  <c r="K47" i="16"/>
  <c r="L47" i="16"/>
  <c r="M47" i="16"/>
  <c r="B48" i="16"/>
  <c r="C48" i="16"/>
  <c r="D48" i="16"/>
  <c r="E48" i="16"/>
  <c r="F48" i="16"/>
  <c r="G48" i="16"/>
  <c r="H48" i="16"/>
  <c r="I48" i="16"/>
  <c r="J48" i="16"/>
  <c r="K48" i="16"/>
  <c r="L48" i="16"/>
  <c r="M48" i="16"/>
  <c r="B49" i="16"/>
  <c r="C49" i="16"/>
  <c r="D49" i="16"/>
  <c r="E49" i="16"/>
  <c r="F49" i="16"/>
  <c r="G49" i="16"/>
  <c r="H49" i="16"/>
  <c r="I49" i="16"/>
  <c r="J49" i="16"/>
  <c r="K49" i="16"/>
  <c r="L49" i="16"/>
  <c r="M49" i="16"/>
  <c r="B50" i="16"/>
  <c r="C50" i="16"/>
  <c r="D50" i="16"/>
  <c r="E50" i="16"/>
  <c r="F50" i="16"/>
  <c r="G50" i="16"/>
  <c r="H50" i="16"/>
  <c r="I50" i="16"/>
  <c r="J50" i="16"/>
  <c r="K50" i="16"/>
  <c r="L50" i="16"/>
  <c r="M50" i="16"/>
  <c r="B51" i="16"/>
  <c r="C51" i="16"/>
  <c r="D51" i="16"/>
  <c r="E51" i="16"/>
  <c r="F51" i="16"/>
  <c r="G51" i="16"/>
  <c r="H51" i="16"/>
  <c r="I51" i="16"/>
  <c r="J51" i="16"/>
  <c r="K51" i="16"/>
  <c r="L51" i="16"/>
  <c r="M51" i="16"/>
  <c r="B52" i="16"/>
  <c r="C52" i="16"/>
  <c r="D52" i="16"/>
  <c r="E52" i="16"/>
  <c r="F52" i="16"/>
  <c r="G52" i="16"/>
  <c r="H52" i="16"/>
  <c r="I52" i="16"/>
  <c r="J52" i="16"/>
  <c r="K52" i="16"/>
  <c r="L52" i="16"/>
  <c r="M52" i="16"/>
  <c r="B53" i="16"/>
  <c r="C53" i="16"/>
  <c r="D53" i="16"/>
  <c r="E53" i="16"/>
  <c r="F53" i="16"/>
  <c r="G53" i="16"/>
  <c r="H53" i="16"/>
  <c r="I53" i="16"/>
  <c r="J53" i="16"/>
  <c r="K53" i="16"/>
  <c r="L53" i="16"/>
  <c r="M53" i="16"/>
  <c r="B54" i="16"/>
  <c r="C54" i="16"/>
  <c r="D54" i="16"/>
  <c r="E54" i="16"/>
  <c r="F54" i="16"/>
  <c r="G54" i="16"/>
  <c r="H54" i="16"/>
  <c r="I54" i="16"/>
  <c r="J54" i="16"/>
  <c r="K54" i="16"/>
  <c r="L54" i="16"/>
  <c r="M54" i="16"/>
  <c r="B55" i="16"/>
  <c r="C55" i="16"/>
  <c r="D55" i="16"/>
  <c r="E55" i="16"/>
  <c r="F55" i="16"/>
  <c r="G55" i="16"/>
  <c r="H55" i="16"/>
  <c r="I55" i="16"/>
  <c r="J55" i="16"/>
  <c r="K55" i="16"/>
  <c r="L55" i="16"/>
  <c r="M55" i="16"/>
  <c r="B56" i="16"/>
  <c r="C56" i="16"/>
  <c r="D56" i="16"/>
  <c r="E56" i="16"/>
  <c r="F56" i="16"/>
  <c r="G56" i="16"/>
  <c r="H56" i="16"/>
  <c r="I56" i="16"/>
  <c r="J56" i="16"/>
  <c r="K56" i="16"/>
  <c r="L56" i="16"/>
  <c r="M56" i="16"/>
  <c r="B57" i="16"/>
  <c r="C57" i="16"/>
  <c r="D57" i="16"/>
  <c r="E57" i="16"/>
  <c r="F57" i="16"/>
  <c r="G57" i="16"/>
  <c r="H57" i="16"/>
  <c r="I57" i="16"/>
  <c r="J57" i="16"/>
  <c r="K57" i="16"/>
  <c r="L57" i="16"/>
  <c r="M57" i="16"/>
  <c r="B58" i="16"/>
  <c r="C58" i="16"/>
  <c r="D58" i="16"/>
  <c r="E58" i="16"/>
  <c r="F58" i="16"/>
  <c r="G58" i="16"/>
  <c r="H58" i="16"/>
  <c r="I58" i="16"/>
  <c r="J58" i="16"/>
  <c r="K58" i="16"/>
  <c r="L58" i="16"/>
  <c r="M58" i="16"/>
  <c r="B59" i="16"/>
  <c r="C59" i="16"/>
  <c r="D59" i="16"/>
  <c r="E59" i="16"/>
  <c r="F59" i="16"/>
  <c r="G59" i="16"/>
  <c r="H59" i="16"/>
  <c r="I59" i="16"/>
  <c r="J59" i="16"/>
  <c r="K59" i="16"/>
  <c r="L59" i="16"/>
  <c r="M59" i="16"/>
  <c r="B60" i="16"/>
  <c r="C60" i="16"/>
  <c r="D60" i="16"/>
  <c r="E60" i="16"/>
  <c r="F60" i="16"/>
  <c r="G60" i="16"/>
  <c r="H60" i="16"/>
  <c r="I60" i="16"/>
  <c r="J60" i="16"/>
  <c r="K60" i="16"/>
  <c r="L60" i="16"/>
  <c r="M60" i="16"/>
  <c r="B61" i="16"/>
  <c r="C61" i="16"/>
  <c r="D61" i="16"/>
  <c r="E61" i="16"/>
  <c r="F61" i="16"/>
  <c r="G61" i="16"/>
  <c r="H61" i="16"/>
  <c r="I61" i="16"/>
  <c r="J61" i="16"/>
  <c r="K61" i="16"/>
  <c r="L61" i="16"/>
  <c r="M61" i="16"/>
  <c r="B62" i="16"/>
  <c r="C62" i="16"/>
  <c r="D62" i="16"/>
  <c r="E62" i="16"/>
  <c r="F62" i="16"/>
  <c r="G62" i="16"/>
  <c r="H62" i="16"/>
  <c r="I62" i="16"/>
  <c r="J62" i="16"/>
  <c r="K62" i="16"/>
  <c r="L62" i="16"/>
  <c r="M62" i="16"/>
  <c r="B63" i="16"/>
  <c r="C63" i="16"/>
  <c r="D63" i="16"/>
  <c r="E63" i="16"/>
  <c r="F63" i="16"/>
  <c r="G63" i="16"/>
  <c r="H63" i="16"/>
  <c r="I63" i="16"/>
  <c r="J63" i="16"/>
  <c r="K63" i="16"/>
  <c r="L63" i="16"/>
  <c r="M63" i="16"/>
  <c r="B64" i="16"/>
  <c r="C64" i="16"/>
  <c r="D64" i="16"/>
  <c r="E64" i="16"/>
  <c r="F64" i="16"/>
  <c r="G64" i="16"/>
  <c r="H64" i="16"/>
  <c r="I64" i="16"/>
  <c r="J64" i="16"/>
  <c r="K64" i="16"/>
  <c r="L64" i="16"/>
  <c r="M64" i="16"/>
  <c r="B65" i="16"/>
  <c r="C65" i="16"/>
  <c r="D65" i="16"/>
  <c r="E65" i="16"/>
  <c r="F65" i="16"/>
  <c r="G65" i="16"/>
  <c r="H65" i="16"/>
  <c r="I65" i="16"/>
  <c r="J65" i="16"/>
  <c r="K65" i="16"/>
  <c r="L65" i="16"/>
  <c r="M65" i="16"/>
  <c r="B66" i="16"/>
  <c r="C66" i="16"/>
  <c r="D66" i="16"/>
  <c r="E66" i="16"/>
  <c r="F66" i="16"/>
  <c r="G66" i="16"/>
  <c r="H66" i="16"/>
  <c r="I66" i="16"/>
  <c r="J66" i="16"/>
  <c r="K66" i="16"/>
  <c r="L66" i="16"/>
  <c r="M66" i="16"/>
  <c r="B67" i="16"/>
  <c r="C67" i="16"/>
  <c r="D67" i="16"/>
  <c r="E67" i="16"/>
  <c r="F67" i="16"/>
  <c r="G67" i="16"/>
  <c r="H67" i="16"/>
  <c r="I67" i="16"/>
  <c r="J67" i="16"/>
  <c r="K67" i="16"/>
  <c r="L67" i="16"/>
  <c r="M67" i="16"/>
  <c r="B68" i="16"/>
  <c r="C68" i="16"/>
  <c r="D68" i="16"/>
  <c r="E68" i="16"/>
  <c r="F68" i="16"/>
  <c r="G68" i="16"/>
  <c r="H68" i="16"/>
  <c r="I68" i="16"/>
  <c r="J68" i="16"/>
  <c r="K68" i="16"/>
  <c r="L68" i="16"/>
  <c r="M68" i="16"/>
  <c r="B69" i="16"/>
  <c r="C69" i="16"/>
  <c r="D69" i="16"/>
  <c r="E69" i="16"/>
  <c r="F69" i="16"/>
  <c r="G69" i="16"/>
  <c r="H69" i="16"/>
  <c r="I69" i="16"/>
  <c r="J69" i="16"/>
  <c r="K69" i="16"/>
  <c r="L69" i="16"/>
  <c r="M69" i="16"/>
  <c r="B70" i="16"/>
  <c r="C70" i="16"/>
  <c r="D70" i="16"/>
  <c r="E70" i="16"/>
  <c r="F70" i="16"/>
  <c r="G70" i="16"/>
  <c r="H70" i="16"/>
  <c r="I70" i="16"/>
  <c r="J70" i="16"/>
  <c r="K70" i="16"/>
  <c r="L70" i="16"/>
  <c r="M70" i="16"/>
  <c r="B71" i="16"/>
  <c r="C71" i="16"/>
  <c r="D71" i="16"/>
  <c r="E71" i="16"/>
  <c r="F71" i="16"/>
  <c r="G71" i="16"/>
  <c r="H71" i="16"/>
  <c r="I71" i="16"/>
  <c r="J71" i="16"/>
  <c r="K71" i="16"/>
  <c r="L71" i="16"/>
  <c r="M71" i="16"/>
  <c r="B72" i="16"/>
  <c r="C72" i="16"/>
  <c r="D72" i="16"/>
  <c r="E72" i="16"/>
  <c r="F72" i="16"/>
  <c r="G72" i="16"/>
  <c r="H72" i="16"/>
  <c r="I72" i="16"/>
  <c r="J72" i="16"/>
  <c r="K72" i="16"/>
  <c r="L72" i="16"/>
  <c r="M72" i="16"/>
  <c r="B73" i="16"/>
  <c r="C73" i="16"/>
  <c r="D73" i="16"/>
  <c r="E73" i="16"/>
  <c r="F73" i="16"/>
  <c r="G73" i="16"/>
  <c r="H73" i="16"/>
  <c r="I73" i="16"/>
  <c r="J73" i="16"/>
  <c r="K73" i="16"/>
  <c r="L73" i="16"/>
  <c r="M73" i="16"/>
  <c r="B74" i="16"/>
  <c r="C74" i="16"/>
  <c r="D74" i="16"/>
  <c r="E74" i="16"/>
  <c r="F74" i="16"/>
  <c r="G74" i="16"/>
  <c r="H74" i="16"/>
  <c r="I74" i="16"/>
  <c r="J74" i="16"/>
  <c r="K74" i="16"/>
  <c r="L74" i="16"/>
  <c r="M74" i="16"/>
  <c r="B75" i="16"/>
  <c r="C75" i="16"/>
  <c r="D75" i="16"/>
  <c r="E75" i="16"/>
  <c r="F75" i="16"/>
  <c r="G75" i="16"/>
  <c r="H75" i="16"/>
  <c r="I75" i="16"/>
  <c r="J75" i="16"/>
  <c r="K75" i="16"/>
  <c r="L75" i="16"/>
  <c r="M75" i="16"/>
  <c r="B76" i="16"/>
  <c r="C76" i="16"/>
  <c r="D76" i="16"/>
  <c r="E76" i="16"/>
  <c r="F76" i="16"/>
  <c r="G76" i="16"/>
  <c r="H76" i="16"/>
  <c r="I76" i="16"/>
  <c r="J76" i="16"/>
  <c r="K76" i="16"/>
  <c r="L76" i="16"/>
  <c r="M76" i="16"/>
  <c r="B77" i="16"/>
  <c r="C77" i="16"/>
  <c r="D77" i="16"/>
  <c r="E77" i="16"/>
  <c r="F77" i="16"/>
  <c r="G77" i="16"/>
  <c r="H77" i="16"/>
  <c r="I77" i="16"/>
  <c r="J77" i="16"/>
  <c r="K77" i="16"/>
  <c r="L77" i="16"/>
  <c r="M77" i="16"/>
  <c r="B78" i="16"/>
  <c r="C78" i="16"/>
  <c r="D78" i="16"/>
  <c r="E78" i="16"/>
  <c r="F78" i="16"/>
  <c r="G78" i="16"/>
  <c r="H78" i="16"/>
  <c r="I78" i="16"/>
  <c r="J78" i="16"/>
  <c r="K78" i="16"/>
  <c r="L78" i="16"/>
  <c r="M78" i="16"/>
  <c r="B79" i="16"/>
  <c r="C79" i="16"/>
  <c r="D79" i="16"/>
  <c r="E79" i="16"/>
  <c r="F79" i="16"/>
  <c r="G79" i="16"/>
  <c r="H79" i="16"/>
  <c r="I79" i="16"/>
  <c r="J79" i="16"/>
  <c r="K79" i="16"/>
  <c r="L79" i="16"/>
  <c r="M79" i="16"/>
  <c r="B80" i="16"/>
  <c r="C80" i="16"/>
  <c r="D80" i="16"/>
  <c r="E80" i="16"/>
  <c r="F80" i="16"/>
  <c r="G80" i="16"/>
  <c r="H80" i="16"/>
  <c r="I80" i="16"/>
  <c r="J80" i="16"/>
  <c r="K80" i="16"/>
  <c r="L80" i="16"/>
  <c r="M80" i="16"/>
  <c r="B81" i="16"/>
  <c r="C81" i="16"/>
  <c r="D81" i="16"/>
  <c r="E81" i="16"/>
  <c r="F81" i="16"/>
  <c r="G81" i="16"/>
  <c r="H81" i="16"/>
  <c r="I81" i="16"/>
  <c r="J81" i="16"/>
  <c r="K81" i="16"/>
  <c r="L81" i="16"/>
  <c r="M81" i="16"/>
  <c r="B82" i="16"/>
  <c r="C82" i="16"/>
  <c r="D82" i="16"/>
  <c r="E82" i="16"/>
  <c r="F82" i="16"/>
  <c r="G82" i="16"/>
  <c r="H82" i="16"/>
  <c r="I82" i="16"/>
  <c r="J82" i="16"/>
  <c r="K82" i="16"/>
  <c r="L82" i="16"/>
  <c r="M82" i="16"/>
  <c r="B83" i="16"/>
  <c r="C83" i="16"/>
  <c r="D83" i="16"/>
  <c r="E83" i="16"/>
  <c r="F83" i="16"/>
  <c r="G83" i="16"/>
  <c r="H83" i="16"/>
  <c r="I83" i="16"/>
  <c r="J83" i="16"/>
  <c r="K83" i="16"/>
  <c r="L83" i="16"/>
  <c r="M83" i="16"/>
  <c r="B84" i="16"/>
  <c r="C84" i="16"/>
  <c r="D84" i="16"/>
  <c r="E84" i="16"/>
  <c r="F84" i="16"/>
  <c r="G84" i="16"/>
  <c r="H84" i="16"/>
  <c r="I84" i="16"/>
  <c r="J84" i="16"/>
  <c r="K84" i="16"/>
  <c r="L84" i="16"/>
  <c r="M84" i="16"/>
  <c r="B85" i="16"/>
  <c r="C85" i="16"/>
  <c r="D85" i="16"/>
  <c r="E85" i="16"/>
  <c r="F85" i="16"/>
  <c r="G85" i="16"/>
  <c r="H85" i="16"/>
  <c r="I85" i="16"/>
  <c r="J85" i="16"/>
  <c r="K85" i="16"/>
  <c r="L85" i="16"/>
  <c r="M85" i="16"/>
  <c r="B86" i="16"/>
  <c r="C86" i="16"/>
  <c r="D86" i="16"/>
  <c r="E86" i="16"/>
  <c r="F86" i="16"/>
  <c r="G86" i="16"/>
  <c r="H86" i="16"/>
  <c r="I86" i="16"/>
  <c r="J86" i="16"/>
  <c r="K86" i="16"/>
  <c r="L86" i="16"/>
  <c r="M86" i="16"/>
  <c r="B87" i="16"/>
  <c r="C87" i="16"/>
  <c r="D87" i="16"/>
  <c r="E87" i="16"/>
  <c r="F87" i="16"/>
  <c r="G87" i="16"/>
  <c r="H87" i="16"/>
  <c r="I87" i="16"/>
  <c r="J87" i="16"/>
  <c r="K87" i="16"/>
  <c r="L87" i="16"/>
  <c r="M87" i="16"/>
  <c r="B88" i="16"/>
  <c r="C88" i="16"/>
  <c r="D88" i="16"/>
  <c r="E88" i="16"/>
  <c r="F88" i="16"/>
  <c r="G88" i="16"/>
  <c r="H88" i="16"/>
  <c r="I88" i="16"/>
  <c r="J88" i="16"/>
  <c r="K88" i="16"/>
  <c r="L88" i="16"/>
  <c r="M88" i="16"/>
  <c r="B89" i="16"/>
  <c r="C89" i="16"/>
  <c r="D89" i="16"/>
  <c r="E89" i="16"/>
  <c r="F89" i="16"/>
  <c r="G89" i="16"/>
  <c r="H89" i="16"/>
  <c r="I89" i="16"/>
  <c r="J89" i="16"/>
  <c r="K89" i="16"/>
  <c r="L89" i="16"/>
  <c r="M89" i="16"/>
  <c r="B90" i="16"/>
  <c r="C90" i="16"/>
  <c r="D90" i="16"/>
  <c r="E90" i="16"/>
  <c r="F90" i="16"/>
  <c r="G90" i="16"/>
  <c r="H90" i="16"/>
  <c r="I90" i="16"/>
  <c r="J90" i="16"/>
  <c r="K90" i="16"/>
  <c r="L90" i="16"/>
  <c r="M90" i="16"/>
  <c r="B91" i="16"/>
  <c r="C91" i="16"/>
  <c r="D91" i="16"/>
  <c r="E91" i="16"/>
  <c r="F91" i="16"/>
  <c r="G91" i="16"/>
  <c r="H91" i="16"/>
  <c r="I91" i="16"/>
  <c r="J91" i="16"/>
  <c r="K91" i="16"/>
  <c r="L91" i="16"/>
  <c r="M91" i="16"/>
  <c r="B92" i="16"/>
  <c r="C92" i="16"/>
  <c r="D92" i="16"/>
  <c r="E92" i="16"/>
  <c r="F92" i="16"/>
  <c r="G92" i="16"/>
  <c r="H92" i="16"/>
  <c r="I92" i="16"/>
  <c r="J92" i="16"/>
  <c r="K92" i="16"/>
  <c r="L92" i="16"/>
  <c r="M92" i="16"/>
  <c r="B93" i="16"/>
  <c r="C93" i="16"/>
  <c r="D93" i="16"/>
  <c r="E93" i="16"/>
  <c r="F93" i="16"/>
  <c r="G93" i="16"/>
  <c r="H93" i="16"/>
  <c r="I93" i="16"/>
  <c r="J93" i="16"/>
  <c r="K93" i="16"/>
  <c r="L93" i="16"/>
  <c r="M93" i="16"/>
  <c r="B94" i="16"/>
  <c r="C94" i="16"/>
  <c r="D94" i="16"/>
  <c r="E94" i="16"/>
  <c r="F94" i="16"/>
  <c r="G94" i="16"/>
  <c r="H94" i="16"/>
  <c r="I94" i="16"/>
  <c r="J94" i="16"/>
  <c r="K94" i="16"/>
  <c r="L94" i="16"/>
  <c r="M94" i="16"/>
  <c r="B95" i="16"/>
  <c r="C95" i="16"/>
  <c r="D95" i="16"/>
  <c r="E95" i="16"/>
  <c r="F95" i="16"/>
  <c r="G95" i="16"/>
  <c r="H95" i="16"/>
  <c r="I95" i="16"/>
  <c r="J95" i="16"/>
  <c r="K95" i="16"/>
  <c r="L95" i="16"/>
  <c r="M95" i="16"/>
  <c r="B96" i="16"/>
  <c r="C96" i="16"/>
  <c r="D96" i="16"/>
  <c r="E96" i="16"/>
  <c r="F96" i="16"/>
  <c r="G96" i="16"/>
  <c r="H96" i="16"/>
  <c r="I96" i="16"/>
  <c r="J96" i="16"/>
  <c r="K96" i="16"/>
  <c r="L96" i="16"/>
  <c r="M96" i="16"/>
  <c r="M15" i="16"/>
  <c r="L15" i="16"/>
  <c r="K15" i="16"/>
  <c r="J15" i="16"/>
  <c r="I15" i="16"/>
  <c r="H15" i="16"/>
  <c r="G15" i="16"/>
  <c r="F15" i="16"/>
  <c r="E15" i="16"/>
  <c r="D15" i="16"/>
  <c r="C15" i="16"/>
  <c r="B15" i="16"/>
  <c r="O15" i="16"/>
  <c r="O16" i="16"/>
  <c r="O17" i="16"/>
  <c r="O18" i="16"/>
  <c r="O19" i="16"/>
  <c r="O20" i="16"/>
  <c r="O21" i="16"/>
  <c r="O22" i="16"/>
  <c r="O23" i="16"/>
  <c r="O24" i="16"/>
  <c r="O25" i="16"/>
  <c r="O26" i="16"/>
  <c r="O27" i="16"/>
  <c r="O28" i="16"/>
  <c r="O29" i="16"/>
  <c r="O30" i="16"/>
  <c r="O31" i="16"/>
  <c r="O32" i="16"/>
  <c r="O33" i="16"/>
  <c r="O34" i="16"/>
  <c r="O35" i="16"/>
  <c r="O36" i="16"/>
  <c r="O37" i="16"/>
  <c r="O38" i="16"/>
  <c r="O39" i="16"/>
  <c r="O40" i="16"/>
  <c r="O41" i="16"/>
  <c r="O42" i="16"/>
  <c r="O43" i="16"/>
  <c r="O44" i="16"/>
  <c r="O45" i="16"/>
  <c r="O46" i="16"/>
  <c r="O47" i="16"/>
  <c r="O48" i="16"/>
  <c r="O49" i="16"/>
  <c r="O50" i="16"/>
  <c r="O51" i="16"/>
  <c r="O52" i="16"/>
  <c r="O53" i="16"/>
  <c r="O54" i="16"/>
  <c r="O55" i="16"/>
  <c r="O56" i="16"/>
  <c r="O57" i="16"/>
  <c r="O58" i="16"/>
  <c r="O59" i="16"/>
  <c r="O60" i="16"/>
  <c r="O61" i="16"/>
  <c r="O62" i="16"/>
  <c r="O63" i="16"/>
  <c r="O64" i="16"/>
  <c r="O65" i="16"/>
  <c r="O66" i="16"/>
  <c r="O67" i="16"/>
  <c r="O68" i="16"/>
  <c r="O69" i="16"/>
  <c r="O70" i="16"/>
  <c r="O71" i="16"/>
  <c r="O72" i="16"/>
  <c r="O73" i="16"/>
  <c r="O74" i="16"/>
  <c r="O75" i="16"/>
  <c r="O76" i="16"/>
  <c r="O77" i="16"/>
  <c r="O78" i="16"/>
  <c r="O79" i="16"/>
  <c r="O80" i="16"/>
  <c r="O81" i="16"/>
  <c r="O82" i="16"/>
  <c r="O83" i="16"/>
  <c r="O84" i="16"/>
  <c r="O85" i="16"/>
  <c r="O86" i="16"/>
  <c r="O87" i="16"/>
  <c r="O88" i="16"/>
  <c r="O89" i="16"/>
  <c r="O90" i="16"/>
  <c r="O91" i="16"/>
  <c r="O92" i="16"/>
  <c r="O93" i="16"/>
  <c r="O94" i="16"/>
  <c r="O95" i="16"/>
  <c r="O96" i="16"/>
  <c r="O98" i="16"/>
  <c r="M98" i="16"/>
  <c r="L98" i="16"/>
  <c r="K98" i="16"/>
  <c r="J98" i="16"/>
  <c r="I98" i="16"/>
  <c r="H98" i="16"/>
  <c r="G98" i="16"/>
  <c r="F98" i="16"/>
  <c r="E98" i="16"/>
  <c r="D98" i="16"/>
  <c r="C98" i="16"/>
  <c r="B98" i="16"/>
  <c r="B16" i="15"/>
  <c r="C16" i="15"/>
  <c r="D16" i="15"/>
  <c r="E16" i="15"/>
  <c r="F16" i="15"/>
  <c r="G16" i="15"/>
  <c r="H16" i="15"/>
  <c r="I16" i="15"/>
  <c r="J16" i="15"/>
  <c r="K16" i="15"/>
  <c r="L16" i="15"/>
  <c r="M16" i="15"/>
  <c r="B17" i="15"/>
  <c r="C17" i="15"/>
  <c r="D17" i="15"/>
  <c r="E17" i="15"/>
  <c r="F17" i="15"/>
  <c r="G17" i="15"/>
  <c r="H17" i="15"/>
  <c r="I17" i="15"/>
  <c r="J17" i="15"/>
  <c r="K17" i="15"/>
  <c r="L17" i="15"/>
  <c r="M17" i="15"/>
  <c r="B18" i="15"/>
  <c r="C18" i="15"/>
  <c r="D18" i="15"/>
  <c r="E18" i="15"/>
  <c r="F18" i="15"/>
  <c r="G18" i="15"/>
  <c r="H18" i="15"/>
  <c r="I18" i="15"/>
  <c r="J18" i="15"/>
  <c r="K18" i="15"/>
  <c r="L18" i="15"/>
  <c r="M18" i="15"/>
  <c r="B19" i="15"/>
  <c r="C19" i="15"/>
  <c r="D19" i="15"/>
  <c r="E19" i="15"/>
  <c r="F19" i="15"/>
  <c r="G19" i="15"/>
  <c r="H19" i="15"/>
  <c r="I19" i="15"/>
  <c r="J19" i="15"/>
  <c r="K19" i="15"/>
  <c r="L19" i="15"/>
  <c r="M19" i="15"/>
  <c r="B20" i="15"/>
  <c r="C20" i="15"/>
  <c r="D20" i="15"/>
  <c r="E20" i="15"/>
  <c r="F20" i="15"/>
  <c r="G20" i="15"/>
  <c r="H20" i="15"/>
  <c r="I20" i="15"/>
  <c r="J20" i="15"/>
  <c r="K20" i="15"/>
  <c r="L20" i="15"/>
  <c r="M20" i="15"/>
  <c r="B21" i="15"/>
  <c r="C21" i="15"/>
  <c r="D21" i="15"/>
  <c r="E21" i="15"/>
  <c r="F21" i="15"/>
  <c r="G21" i="15"/>
  <c r="H21" i="15"/>
  <c r="I21" i="15"/>
  <c r="J21" i="15"/>
  <c r="K21" i="15"/>
  <c r="L21" i="15"/>
  <c r="M21" i="15"/>
  <c r="B22" i="15"/>
  <c r="C22" i="15"/>
  <c r="D22" i="15"/>
  <c r="E22" i="15"/>
  <c r="F22" i="15"/>
  <c r="G22" i="15"/>
  <c r="H22" i="15"/>
  <c r="I22" i="15"/>
  <c r="J22" i="15"/>
  <c r="K22" i="15"/>
  <c r="L22" i="15"/>
  <c r="M22" i="15"/>
  <c r="B23" i="15"/>
  <c r="C23" i="15"/>
  <c r="D23" i="15"/>
  <c r="E23" i="15"/>
  <c r="F23" i="15"/>
  <c r="G23" i="15"/>
  <c r="H23" i="15"/>
  <c r="I23" i="15"/>
  <c r="J23" i="15"/>
  <c r="K23" i="15"/>
  <c r="L23" i="15"/>
  <c r="M23" i="15"/>
  <c r="B24" i="15"/>
  <c r="C24" i="15"/>
  <c r="D24" i="15"/>
  <c r="E24" i="15"/>
  <c r="F24" i="15"/>
  <c r="G24" i="15"/>
  <c r="H24" i="15"/>
  <c r="I24" i="15"/>
  <c r="J24" i="15"/>
  <c r="K24" i="15"/>
  <c r="L24" i="15"/>
  <c r="M24" i="15"/>
  <c r="B25" i="15"/>
  <c r="C25" i="15"/>
  <c r="D25" i="15"/>
  <c r="E25" i="15"/>
  <c r="F25" i="15"/>
  <c r="G25" i="15"/>
  <c r="H25" i="15"/>
  <c r="I25" i="15"/>
  <c r="J25" i="15"/>
  <c r="K25" i="15"/>
  <c r="L25" i="15"/>
  <c r="M25" i="15"/>
  <c r="B26" i="15"/>
  <c r="C26" i="15"/>
  <c r="D26" i="15"/>
  <c r="E26" i="15"/>
  <c r="F26" i="15"/>
  <c r="G26" i="15"/>
  <c r="H26" i="15"/>
  <c r="I26" i="15"/>
  <c r="J26" i="15"/>
  <c r="K26" i="15"/>
  <c r="L26" i="15"/>
  <c r="M26" i="15"/>
  <c r="B27" i="15"/>
  <c r="C27" i="15"/>
  <c r="D27" i="15"/>
  <c r="E27" i="15"/>
  <c r="F27" i="15"/>
  <c r="G27" i="15"/>
  <c r="H27" i="15"/>
  <c r="I27" i="15"/>
  <c r="J27" i="15"/>
  <c r="K27" i="15"/>
  <c r="L27" i="15"/>
  <c r="M27" i="15"/>
  <c r="B28" i="15"/>
  <c r="C28" i="15"/>
  <c r="D28" i="15"/>
  <c r="E28" i="15"/>
  <c r="F28" i="15"/>
  <c r="G28" i="15"/>
  <c r="H28" i="15"/>
  <c r="I28" i="15"/>
  <c r="J28" i="15"/>
  <c r="K28" i="15"/>
  <c r="L28" i="15"/>
  <c r="M28" i="15"/>
  <c r="B29" i="15"/>
  <c r="C29" i="15"/>
  <c r="D29" i="15"/>
  <c r="E29" i="15"/>
  <c r="F29" i="15"/>
  <c r="G29" i="15"/>
  <c r="H29" i="15"/>
  <c r="I29" i="15"/>
  <c r="J29" i="15"/>
  <c r="K29" i="15"/>
  <c r="L29" i="15"/>
  <c r="M29" i="15"/>
  <c r="B30" i="15"/>
  <c r="C30" i="15"/>
  <c r="D30" i="15"/>
  <c r="E30" i="15"/>
  <c r="F30" i="15"/>
  <c r="G30" i="15"/>
  <c r="H30" i="15"/>
  <c r="I30" i="15"/>
  <c r="J30" i="15"/>
  <c r="K30" i="15"/>
  <c r="L30" i="15"/>
  <c r="M30" i="15"/>
  <c r="B31" i="15"/>
  <c r="C31" i="15"/>
  <c r="D31" i="15"/>
  <c r="E31" i="15"/>
  <c r="F31" i="15"/>
  <c r="G31" i="15"/>
  <c r="H31" i="15"/>
  <c r="I31" i="15"/>
  <c r="J31" i="15"/>
  <c r="K31" i="15"/>
  <c r="L31" i="15"/>
  <c r="M31" i="15"/>
  <c r="B32" i="15"/>
  <c r="C32" i="15"/>
  <c r="D32" i="15"/>
  <c r="E32" i="15"/>
  <c r="F32" i="15"/>
  <c r="G32" i="15"/>
  <c r="H32" i="15"/>
  <c r="I32" i="15"/>
  <c r="J32" i="15"/>
  <c r="K32" i="15"/>
  <c r="L32" i="15"/>
  <c r="M32" i="15"/>
  <c r="B33" i="15"/>
  <c r="C33" i="15"/>
  <c r="D33" i="15"/>
  <c r="E33" i="15"/>
  <c r="F33" i="15"/>
  <c r="G33" i="15"/>
  <c r="H33" i="15"/>
  <c r="I33" i="15"/>
  <c r="J33" i="15"/>
  <c r="K33" i="15"/>
  <c r="L33" i="15"/>
  <c r="M33" i="15"/>
  <c r="B34" i="15"/>
  <c r="C34" i="15"/>
  <c r="D34" i="15"/>
  <c r="E34" i="15"/>
  <c r="F34" i="15"/>
  <c r="G34" i="15"/>
  <c r="H34" i="15"/>
  <c r="I34" i="15"/>
  <c r="J34" i="15"/>
  <c r="K34" i="15"/>
  <c r="L34" i="15"/>
  <c r="M34" i="15"/>
  <c r="B35" i="15"/>
  <c r="C35" i="15"/>
  <c r="D35" i="15"/>
  <c r="E35" i="15"/>
  <c r="F35" i="15"/>
  <c r="G35" i="15"/>
  <c r="H35" i="15"/>
  <c r="I35" i="15"/>
  <c r="J35" i="15"/>
  <c r="K35" i="15"/>
  <c r="L35" i="15"/>
  <c r="M35" i="15"/>
  <c r="B36" i="15"/>
  <c r="C36" i="15"/>
  <c r="D36" i="15"/>
  <c r="E36" i="15"/>
  <c r="F36" i="15"/>
  <c r="G36" i="15"/>
  <c r="H36" i="15"/>
  <c r="I36" i="15"/>
  <c r="J36" i="15"/>
  <c r="K36" i="15"/>
  <c r="L36" i="15"/>
  <c r="M36" i="15"/>
  <c r="B37" i="15"/>
  <c r="C37" i="15"/>
  <c r="D37" i="15"/>
  <c r="E37" i="15"/>
  <c r="F37" i="15"/>
  <c r="G37" i="15"/>
  <c r="H37" i="15"/>
  <c r="I37" i="15"/>
  <c r="J37" i="15"/>
  <c r="K37" i="15"/>
  <c r="L37" i="15"/>
  <c r="M37" i="15"/>
  <c r="B38" i="15"/>
  <c r="C38" i="15"/>
  <c r="D38" i="15"/>
  <c r="E38" i="15"/>
  <c r="F38" i="15"/>
  <c r="G38" i="15"/>
  <c r="H38" i="15"/>
  <c r="I38" i="15"/>
  <c r="J38" i="15"/>
  <c r="K38" i="15"/>
  <c r="L38" i="15"/>
  <c r="M38" i="15"/>
  <c r="B39" i="15"/>
  <c r="C39" i="15"/>
  <c r="D39" i="15"/>
  <c r="E39" i="15"/>
  <c r="F39" i="15"/>
  <c r="G39" i="15"/>
  <c r="H39" i="15"/>
  <c r="I39" i="15"/>
  <c r="J39" i="15"/>
  <c r="K39" i="15"/>
  <c r="L39" i="15"/>
  <c r="M39" i="15"/>
  <c r="B40" i="15"/>
  <c r="C40" i="15"/>
  <c r="D40" i="15"/>
  <c r="E40" i="15"/>
  <c r="F40" i="15"/>
  <c r="G40" i="15"/>
  <c r="H40" i="15"/>
  <c r="I40" i="15"/>
  <c r="J40" i="15"/>
  <c r="K40" i="15"/>
  <c r="L40" i="15"/>
  <c r="M40" i="15"/>
  <c r="B41" i="15"/>
  <c r="C41" i="15"/>
  <c r="D41" i="15"/>
  <c r="E41" i="15"/>
  <c r="F41" i="15"/>
  <c r="G41" i="15"/>
  <c r="H41" i="15"/>
  <c r="I41" i="15"/>
  <c r="J41" i="15"/>
  <c r="K41" i="15"/>
  <c r="L41" i="15"/>
  <c r="M41" i="15"/>
  <c r="B42" i="15"/>
  <c r="C42" i="15"/>
  <c r="D42" i="15"/>
  <c r="E42" i="15"/>
  <c r="F42" i="15"/>
  <c r="G42" i="15"/>
  <c r="H42" i="15"/>
  <c r="I42" i="15"/>
  <c r="J42" i="15"/>
  <c r="K42" i="15"/>
  <c r="L42" i="15"/>
  <c r="M42" i="15"/>
  <c r="B43" i="15"/>
  <c r="C43" i="15"/>
  <c r="D43" i="15"/>
  <c r="E43" i="15"/>
  <c r="F43" i="15"/>
  <c r="G43" i="15"/>
  <c r="H43" i="15"/>
  <c r="I43" i="15"/>
  <c r="J43" i="15"/>
  <c r="K43" i="15"/>
  <c r="L43" i="15"/>
  <c r="M43" i="15"/>
  <c r="B44" i="15"/>
  <c r="C44" i="15"/>
  <c r="D44" i="15"/>
  <c r="E44" i="15"/>
  <c r="F44" i="15"/>
  <c r="G44" i="15"/>
  <c r="H44" i="15"/>
  <c r="I44" i="15"/>
  <c r="J44" i="15"/>
  <c r="K44" i="15"/>
  <c r="L44" i="15"/>
  <c r="M44" i="15"/>
  <c r="B45" i="15"/>
  <c r="C45" i="15"/>
  <c r="D45" i="15"/>
  <c r="E45" i="15"/>
  <c r="F45" i="15"/>
  <c r="G45" i="15"/>
  <c r="H45" i="15"/>
  <c r="I45" i="15"/>
  <c r="J45" i="15"/>
  <c r="K45" i="15"/>
  <c r="L45" i="15"/>
  <c r="M45" i="15"/>
  <c r="B46" i="15"/>
  <c r="C46" i="15"/>
  <c r="D46" i="15"/>
  <c r="E46" i="15"/>
  <c r="F46" i="15"/>
  <c r="G46" i="15"/>
  <c r="H46" i="15"/>
  <c r="I46" i="15"/>
  <c r="J46" i="15"/>
  <c r="K46" i="15"/>
  <c r="L46" i="15"/>
  <c r="M46" i="15"/>
  <c r="B47" i="15"/>
  <c r="C47" i="15"/>
  <c r="D47" i="15"/>
  <c r="E47" i="15"/>
  <c r="F47" i="15"/>
  <c r="G47" i="15"/>
  <c r="H47" i="15"/>
  <c r="I47" i="15"/>
  <c r="J47" i="15"/>
  <c r="K47" i="15"/>
  <c r="L47" i="15"/>
  <c r="M47" i="15"/>
  <c r="B48" i="15"/>
  <c r="C48" i="15"/>
  <c r="D48" i="15"/>
  <c r="E48" i="15"/>
  <c r="F48" i="15"/>
  <c r="G48" i="15"/>
  <c r="H48" i="15"/>
  <c r="I48" i="15"/>
  <c r="J48" i="15"/>
  <c r="K48" i="15"/>
  <c r="L48" i="15"/>
  <c r="M48" i="15"/>
  <c r="B49" i="15"/>
  <c r="C49" i="15"/>
  <c r="D49" i="15"/>
  <c r="E49" i="15"/>
  <c r="F49" i="15"/>
  <c r="G49" i="15"/>
  <c r="H49" i="15"/>
  <c r="I49" i="15"/>
  <c r="J49" i="15"/>
  <c r="K49" i="15"/>
  <c r="L49" i="15"/>
  <c r="M49" i="15"/>
  <c r="B50" i="15"/>
  <c r="C50" i="15"/>
  <c r="D50" i="15"/>
  <c r="E50" i="15"/>
  <c r="F50" i="15"/>
  <c r="G50" i="15"/>
  <c r="H50" i="15"/>
  <c r="I50" i="15"/>
  <c r="J50" i="15"/>
  <c r="K50" i="15"/>
  <c r="L50" i="15"/>
  <c r="M50" i="15"/>
  <c r="B51" i="15"/>
  <c r="C51" i="15"/>
  <c r="D51" i="15"/>
  <c r="E51" i="15"/>
  <c r="F51" i="15"/>
  <c r="G51" i="15"/>
  <c r="H51" i="15"/>
  <c r="I51" i="15"/>
  <c r="J51" i="15"/>
  <c r="K51" i="15"/>
  <c r="L51" i="15"/>
  <c r="M51" i="15"/>
  <c r="B52" i="15"/>
  <c r="C52" i="15"/>
  <c r="D52" i="15"/>
  <c r="E52" i="15"/>
  <c r="F52" i="15"/>
  <c r="G52" i="15"/>
  <c r="H52" i="15"/>
  <c r="I52" i="15"/>
  <c r="J52" i="15"/>
  <c r="K52" i="15"/>
  <c r="L52" i="15"/>
  <c r="M52" i="15"/>
  <c r="B53" i="15"/>
  <c r="C53" i="15"/>
  <c r="D53" i="15"/>
  <c r="E53" i="15"/>
  <c r="F53" i="15"/>
  <c r="G53" i="15"/>
  <c r="H53" i="15"/>
  <c r="I53" i="15"/>
  <c r="J53" i="15"/>
  <c r="K53" i="15"/>
  <c r="L53" i="15"/>
  <c r="M53" i="15"/>
  <c r="B54" i="15"/>
  <c r="C54" i="15"/>
  <c r="D54" i="15"/>
  <c r="E54" i="15"/>
  <c r="F54" i="15"/>
  <c r="G54" i="15"/>
  <c r="H54" i="15"/>
  <c r="I54" i="15"/>
  <c r="J54" i="15"/>
  <c r="K54" i="15"/>
  <c r="L54" i="15"/>
  <c r="M54" i="15"/>
  <c r="B55" i="15"/>
  <c r="C55" i="15"/>
  <c r="D55" i="15"/>
  <c r="E55" i="15"/>
  <c r="F55" i="15"/>
  <c r="G55" i="15"/>
  <c r="H55" i="15"/>
  <c r="I55" i="15"/>
  <c r="J55" i="15"/>
  <c r="K55" i="15"/>
  <c r="L55" i="15"/>
  <c r="M55" i="15"/>
  <c r="B56" i="15"/>
  <c r="C56" i="15"/>
  <c r="D56" i="15"/>
  <c r="E56" i="15"/>
  <c r="F56" i="15"/>
  <c r="G56" i="15"/>
  <c r="H56" i="15"/>
  <c r="I56" i="15"/>
  <c r="J56" i="15"/>
  <c r="K56" i="15"/>
  <c r="L56" i="15"/>
  <c r="M56" i="15"/>
  <c r="B57" i="15"/>
  <c r="C57" i="15"/>
  <c r="D57" i="15"/>
  <c r="E57" i="15"/>
  <c r="F57" i="15"/>
  <c r="G57" i="15"/>
  <c r="H57" i="15"/>
  <c r="I57" i="15"/>
  <c r="J57" i="15"/>
  <c r="K57" i="15"/>
  <c r="L57" i="15"/>
  <c r="M57" i="15"/>
  <c r="B58" i="15"/>
  <c r="C58" i="15"/>
  <c r="D58" i="15"/>
  <c r="E58" i="15"/>
  <c r="F58" i="15"/>
  <c r="G58" i="15"/>
  <c r="H58" i="15"/>
  <c r="I58" i="15"/>
  <c r="J58" i="15"/>
  <c r="K58" i="15"/>
  <c r="L58" i="15"/>
  <c r="M58" i="15"/>
  <c r="B59" i="15"/>
  <c r="C59" i="15"/>
  <c r="D59" i="15"/>
  <c r="E59" i="15"/>
  <c r="F59" i="15"/>
  <c r="G59" i="15"/>
  <c r="H59" i="15"/>
  <c r="I59" i="15"/>
  <c r="J59" i="15"/>
  <c r="K59" i="15"/>
  <c r="L59" i="15"/>
  <c r="M59" i="15"/>
  <c r="B60" i="15"/>
  <c r="C60" i="15"/>
  <c r="D60" i="15"/>
  <c r="E60" i="15"/>
  <c r="F60" i="15"/>
  <c r="G60" i="15"/>
  <c r="H60" i="15"/>
  <c r="I60" i="15"/>
  <c r="J60" i="15"/>
  <c r="K60" i="15"/>
  <c r="L60" i="15"/>
  <c r="M60" i="15"/>
  <c r="B61" i="15"/>
  <c r="C61" i="15"/>
  <c r="D61" i="15"/>
  <c r="E61" i="15"/>
  <c r="F61" i="15"/>
  <c r="G61" i="15"/>
  <c r="H61" i="15"/>
  <c r="I61" i="15"/>
  <c r="J61" i="15"/>
  <c r="K61" i="15"/>
  <c r="L61" i="15"/>
  <c r="M61" i="15"/>
  <c r="B62" i="15"/>
  <c r="C62" i="15"/>
  <c r="D62" i="15"/>
  <c r="E62" i="15"/>
  <c r="F62" i="15"/>
  <c r="G62" i="15"/>
  <c r="H62" i="15"/>
  <c r="I62" i="15"/>
  <c r="J62" i="15"/>
  <c r="K62" i="15"/>
  <c r="L62" i="15"/>
  <c r="M62" i="15"/>
  <c r="B63" i="15"/>
  <c r="C63" i="15"/>
  <c r="D63" i="15"/>
  <c r="E63" i="15"/>
  <c r="F63" i="15"/>
  <c r="G63" i="15"/>
  <c r="H63" i="15"/>
  <c r="I63" i="15"/>
  <c r="J63" i="15"/>
  <c r="K63" i="15"/>
  <c r="L63" i="15"/>
  <c r="M63" i="15"/>
  <c r="B64" i="15"/>
  <c r="C64" i="15"/>
  <c r="D64" i="15"/>
  <c r="E64" i="15"/>
  <c r="F64" i="15"/>
  <c r="G64" i="15"/>
  <c r="H64" i="15"/>
  <c r="I64" i="15"/>
  <c r="J64" i="15"/>
  <c r="K64" i="15"/>
  <c r="L64" i="15"/>
  <c r="M64" i="15"/>
  <c r="B65" i="15"/>
  <c r="C65" i="15"/>
  <c r="D65" i="15"/>
  <c r="E65" i="15"/>
  <c r="F65" i="15"/>
  <c r="G65" i="15"/>
  <c r="H65" i="15"/>
  <c r="I65" i="15"/>
  <c r="J65" i="15"/>
  <c r="K65" i="15"/>
  <c r="L65" i="15"/>
  <c r="M65" i="15"/>
  <c r="B66" i="15"/>
  <c r="C66" i="15"/>
  <c r="D66" i="15"/>
  <c r="E66" i="15"/>
  <c r="F66" i="15"/>
  <c r="G66" i="15"/>
  <c r="H66" i="15"/>
  <c r="I66" i="15"/>
  <c r="J66" i="15"/>
  <c r="K66" i="15"/>
  <c r="L66" i="15"/>
  <c r="M66" i="15"/>
  <c r="B67" i="15"/>
  <c r="C67" i="15"/>
  <c r="D67" i="15"/>
  <c r="E67" i="15"/>
  <c r="F67" i="15"/>
  <c r="G67" i="15"/>
  <c r="H67" i="15"/>
  <c r="I67" i="15"/>
  <c r="J67" i="15"/>
  <c r="K67" i="15"/>
  <c r="L67" i="15"/>
  <c r="M67" i="15"/>
  <c r="B68" i="15"/>
  <c r="C68" i="15"/>
  <c r="D68" i="15"/>
  <c r="E68" i="15"/>
  <c r="F68" i="15"/>
  <c r="G68" i="15"/>
  <c r="H68" i="15"/>
  <c r="I68" i="15"/>
  <c r="J68" i="15"/>
  <c r="K68" i="15"/>
  <c r="L68" i="15"/>
  <c r="M68" i="15"/>
  <c r="B69" i="15"/>
  <c r="C69" i="15"/>
  <c r="D69" i="15"/>
  <c r="E69" i="15"/>
  <c r="F69" i="15"/>
  <c r="G69" i="15"/>
  <c r="H69" i="15"/>
  <c r="I69" i="15"/>
  <c r="J69" i="15"/>
  <c r="K69" i="15"/>
  <c r="L69" i="15"/>
  <c r="M69" i="15"/>
  <c r="B70" i="15"/>
  <c r="C70" i="15"/>
  <c r="D70" i="15"/>
  <c r="E70" i="15"/>
  <c r="F70" i="15"/>
  <c r="G70" i="15"/>
  <c r="H70" i="15"/>
  <c r="I70" i="15"/>
  <c r="J70" i="15"/>
  <c r="K70" i="15"/>
  <c r="L70" i="15"/>
  <c r="M70" i="15"/>
  <c r="B71" i="15"/>
  <c r="C71" i="15"/>
  <c r="D71" i="15"/>
  <c r="E71" i="15"/>
  <c r="F71" i="15"/>
  <c r="G71" i="15"/>
  <c r="H71" i="15"/>
  <c r="I71" i="15"/>
  <c r="J71" i="15"/>
  <c r="K71" i="15"/>
  <c r="L71" i="15"/>
  <c r="M71" i="15"/>
  <c r="B72" i="15"/>
  <c r="C72" i="15"/>
  <c r="D72" i="15"/>
  <c r="E72" i="15"/>
  <c r="F72" i="15"/>
  <c r="G72" i="15"/>
  <c r="H72" i="15"/>
  <c r="I72" i="15"/>
  <c r="J72" i="15"/>
  <c r="K72" i="15"/>
  <c r="L72" i="15"/>
  <c r="M72" i="15"/>
  <c r="B73" i="15"/>
  <c r="C73" i="15"/>
  <c r="D73" i="15"/>
  <c r="E73" i="15"/>
  <c r="F73" i="15"/>
  <c r="G73" i="15"/>
  <c r="H73" i="15"/>
  <c r="I73" i="15"/>
  <c r="J73" i="15"/>
  <c r="K73" i="15"/>
  <c r="L73" i="15"/>
  <c r="M73" i="15"/>
  <c r="B74" i="15"/>
  <c r="C74" i="15"/>
  <c r="D74" i="15"/>
  <c r="E74" i="15"/>
  <c r="F74" i="15"/>
  <c r="G74" i="15"/>
  <c r="H74" i="15"/>
  <c r="I74" i="15"/>
  <c r="J74" i="15"/>
  <c r="K74" i="15"/>
  <c r="L74" i="15"/>
  <c r="M74" i="15"/>
  <c r="B75" i="15"/>
  <c r="C75" i="15"/>
  <c r="D75" i="15"/>
  <c r="E75" i="15"/>
  <c r="F75" i="15"/>
  <c r="G75" i="15"/>
  <c r="H75" i="15"/>
  <c r="I75" i="15"/>
  <c r="J75" i="15"/>
  <c r="K75" i="15"/>
  <c r="L75" i="15"/>
  <c r="M75" i="15"/>
  <c r="B76" i="15"/>
  <c r="C76" i="15"/>
  <c r="D76" i="15"/>
  <c r="E76" i="15"/>
  <c r="F76" i="15"/>
  <c r="G76" i="15"/>
  <c r="H76" i="15"/>
  <c r="I76" i="15"/>
  <c r="J76" i="15"/>
  <c r="K76" i="15"/>
  <c r="L76" i="15"/>
  <c r="M76" i="15"/>
  <c r="B77" i="15"/>
  <c r="C77" i="15"/>
  <c r="D77" i="15"/>
  <c r="E77" i="15"/>
  <c r="F77" i="15"/>
  <c r="G77" i="15"/>
  <c r="H77" i="15"/>
  <c r="I77" i="15"/>
  <c r="J77" i="15"/>
  <c r="K77" i="15"/>
  <c r="L77" i="15"/>
  <c r="M77" i="15"/>
  <c r="B78" i="15"/>
  <c r="C78" i="15"/>
  <c r="D78" i="15"/>
  <c r="E78" i="15"/>
  <c r="F78" i="15"/>
  <c r="G78" i="15"/>
  <c r="H78" i="15"/>
  <c r="I78" i="15"/>
  <c r="J78" i="15"/>
  <c r="K78" i="15"/>
  <c r="L78" i="15"/>
  <c r="M78" i="15"/>
  <c r="B79" i="15"/>
  <c r="C79" i="15"/>
  <c r="D79" i="15"/>
  <c r="E79" i="15"/>
  <c r="F79" i="15"/>
  <c r="G79" i="15"/>
  <c r="H79" i="15"/>
  <c r="I79" i="15"/>
  <c r="J79" i="15"/>
  <c r="K79" i="15"/>
  <c r="L79" i="15"/>
  <c r="M79" i="15"/>
  <c r="B80" i="15"/>
  <c r="C80" i="15"/>
  <c r="D80" i="15"/>
  <c r="E80" i="15"/>
  <c r="F80" i="15"/>
  <c r="G80" i="15"/>
  <c r="H80" i="15"/>
  <c r="I80" i="15"/>
  <c r="J80" i="15"/>
  <c r="K80" i="15"/>
  <c r="L80" i="15"/>
  <c r="M80" i="15"/>
  <c r="B81" i="15"/>
  <c r="C81" i="15"/>
  <c r="D81" i="15"/>
  <c r="E81" i="15"/>
  <c r="F81" i="15"/>
  <c r="G81" i="15"/>
  <c r="H81" i="15"/>
  <c r="I81" i="15"/>
  <c r="J81" i="15"/>
  <c r="K81" i="15"/>
  <c r="L81" i="15"/>
  <c r="M81" i="15"/>
  <c r="B82" i="15"/>
  <c r="C82" i="15"/>
  <c r="D82" i="15"/>
  <c r="E82" i="15"/>
  <c r="F82" i="15"/>
  <c r="G82" i="15"/>
  <c r="H82" i="15"/>
  <c r="I82" i="15"/>
  <c r="J82" i="15"/>
  <c r="K82" i="15"/>
  <c r="L82" i="15"/>
  <c r="M82" i="15"/>
  <c r="B83" i="15"/>
  <c r="C83" i="15"/>
  <c r="D83" i="15"/>
  <c r="E83" i="15"/>
  <c r="F83" i="15"/>
  <c r="G83" i="15"/>
  <c r="H83" i="15"/>
  <c r="I83" i="15"/>
  <c r="J83" i="15"/>
  <c r="K83" i="15"/>
  <c r="L83" i="15"/>
  <c r="M83" i="15"/>
  <c r="B84" i="15"/>
  <c r="C84" i="15"/>
  <c r="D84" i="15"/>
  <c r="E84" i="15"/>
  <c r="F84" i="15"/>
  <c r="G84" i="15"/>
  <c r="H84" i="15"/>
  <c r="I84" i="15"/>
  <c r="J84" i="15"/>
  <c r="K84" i="15"/>
  <c r="L84" i="15"/>
  <c r="M84" i="15"/>
  <c r="B85" i="15"/>
  <c r="C85" i="15"/>
  <c r="D85" i="15"/>
  <c r="E85" i="15"/>
  <c r="F85" i="15"/>
  <c r="G85" i="15"/>
  <c r="H85" i="15"/>
  <c r="I85" i="15"/>
  <c r="J85" i="15"/>
  <c r="K85" i="15"/>
  <c r="L85" i="15"/>
  <c r="M85" i="15"/>
  <c r="B86" i="15"/>
  <c r="C86" i="15"/>
  <c r="D86" i="15"/>
  <c r="E86" i="15"/>
  <c r="F86" i="15"/>
  <c r="G86" i="15"/>
  <c r="H86" i="15"/>
  <c r="I86" i="15"/>
  <c r="J86" i="15"/>
  <c r="K86" i="15"/>
  <c r="L86" i="15"/>
  <c r="M86" i="15"/>
  <c r="B87" i="15"/>
  <c r="C87" i="15"/>
  <c r="D87" i="15"/>
  <c r="E87" i="15"/>
  <c r="F87" i="15"/>
  <c r="G87" i="15"/>
  <c r="H87" i="15"/>
  <c r="I87" i="15"/>
  <c r="J87" i="15"/>
  <c r="K87" i="15"/>
  <c r="L87" i="15"/>
  <c r="M87" i="15"/>
  <c r="B88" i="15"/>
  <c r="C88" i="15"/>
  <c r="D88" i="15"/>
  <c r="E88" i="15"/>
  <c r="F88" i="15"/>
  <c r="G88" i="15"/>
  <c r="H88" i="15"/>
  <c r="I88" i="15"/>
  <c r="J88" i="15"/>
  <c r="K88" i="15"/>
  <c r="L88" i="15"/>
  <c r="M88" i="15"/>
  <c r="B89" i="15"/>
  <c r="C89" i="15"/>
  <c r="D89" i="15"/>
  <c r="E89" i="15"/>
  <c r="F89" i="15"/>
  <c r="G89" i="15"/>
  <c r="H89" i="15"/>
  <c r="I89" i="15"/>
  <c r="J89" i="15"/>
  <c r="K89" i="15"/>
  <c r="L89" i="15"/>
  <c r="M89" i="15"/>
  <c r="B90" i="15"/>
  <c r="C90" i="15"/>
  <c r="D90" i="15"/>
  <c r="E90" i="15"/>
  <c r="F90" i="15"/>
  <c r="G90" i="15"/>
  <c r="H90" i="15"/>
  <c r="I90" i="15"/>
  <c r="J90" i="15"/>
  <c r="K90" i="15"/>
  <c r="L90" i="15"/>
  <c r="M90" i="15"/>
  <c r="B91" i="15"/>
  <c r="C91" i="15"/>
  <c r="D91" i="15"/>
  <c r="E91" i="15"/>
  <c r="F91" i="15"/>
  <c r="G91" i="15"/>
  <c r="H91" i="15"/>
  <c r="I91" i="15"/>
  <c r="J91" i="15"/>
  <c r="K91" i="15"/>
  <c r="L91" i="15"/>
  <c r="M91" i="15"/>
  <c r="B92" i="15"/>
  <c r="C92" i="15"/>
  <c r="D92" i="15"/>
  <c r="E92" i="15"/>
  <c r="F92" i="15"/>
  <c r="G92" i="15"/>
  <c r="H92" i="15"/>
  <c r="I92" i="15"/>
  <c r="J92" i="15"/>
  <c r="K92" i="15"/>
  <c r="L92" i="15"/>
  <c r="M92" i="15"/>
  <c r="B93" i="15"/>
  <c r="C93" i="15"/>
  <c r="D93" i="15"/>
  <c r="E93" i="15"/>
  <c r="F93" i="15"/>
  <c r="G93" i="15"/>
  <c r="H93" i="15"/>
  <c r="I93" i="15"/>
  <c r="J93" i="15"/>
  <c r="K93" i="15"/>
  <c r="L93" i="15"/>
  <c r="M93" i="15"/>
  <c r="B94" i="15"/>
  <c r="C94" i="15"/>
  <c r="D94" i="15"/>
  <c r="E94" i="15"/>
  <c r="F94" i="15"/>
  <c r="G94" i="15"/>
  <c r="H94" i="15"/>
  <c r="I94" i="15"/>
  <c r="J94" i="15"/>
  <c r="K94" i="15"/>
  <c r="L94" i="15"/>
  <c r="M94" i="15"/>
  <c r="B95" i="15"/>
  <c r="C95" i="15"/>
  <c r="D95" i="15"/>
  <c r="E95" i="15"/>
  <c r="F95" i="15"/>
  <c r="G95" i="15"/>
  <c r="H95" i="15"/>
  <c r="I95" i="15"/>
  <c r="J95" i="15"/>
  <c r="K95" i="15"/>
  <c r="L95" i="15"/>
  <c r="M95" i="15"/>
  <c r="B96" i="15"/>
  <c r="C96" i="15"/>
  <c r="D96" i="15"/>
  <c r="E96" i="15"/>
  <c r="F96" i="15"/>
  <c r="G96" i="15"/>
  <c r="H96" i="15"/>
  <c r="I96" i="15"/>
  <c r="J96" i="15"/>
  <c r="K96" i="15"/>
  <c r="L96" i="15"/>
  <c r="M96" i="15"/>
  <c r="M15" i="15"/>
  <c r="L15" i="15"/>
  <c r="K15" i="15"/>
  <c r="J15" i="15"/>
  <c r="I15" i="15"/>
  <c r="H15" i="15"/>
  <c r="G15" i="15"/>
  <c r="F15" i="15"/>
  <c r="E15" i="15"/>
  <c r="D15" i="15"/>
  <c r="C15" i="15"/>
  <c r="B15" i="15"/>
  <c r="O96" i="15"/>
  <c r="O95" i="15"/>
  <c r="O94" i="15"/>
  <c r="O93" i="15"/>
  <c r="O92" i="15"/>
  <c r="O91" i="15"/>
  <c r="O90" i="15"/>
  <c r="O89" i="15"/>
  <c r="O88" i="15"/>
  <c r="O87" i="15"/>
  <c r="O86" i="15"/>
  <c r="O85" i="15"/>
  <c r="O84" i="15"/>
  <c r="O83" i="15"/>
  <c r="O82" i="15"/>
  <c r="O81" i="15"/>
  <c r="O80" i="15"/>
  <c r="O79" i="15"/>
  <c r="O78" i="15"/>
  <c r="O77" i="15"/>
  <c r="O76" i="15"/>
  <c r="O75" i="15"/>
  <c r="O74" i="15"/>
  <c r="O73" i="15"/>
  <c r="O72" i="15"/>
  <c r="O71" i="15"/>
  <c r="O70" i="15"/>
  <c r="O69" i="15"/>
  <c r="O68" i="15"/>
  <c r="O67" i="15"/>
  <c r="O66" i="15"/>
  <c r="O65" i="15"/>
  <c r="O64" i="15"/>
  <c r="O63" i="15"/>
  <c r="O62" i="15"/>
  <c r="O61" i="15"/>
  <c r="O60" i="15"/>
  <c r="O59" i="15"/>
  <c r="O58" i="15"/>
  <c r="O57" i="15"/>
  <c r="O56" i="15"/>
  <c r="O55" i="15"/>
  <c r="O54" i="15"/>
  <c r="O53" i="15"/>
  <c r="O52" i="15"/>
  <c r="O51" i="15"/>
  <c r="O50" i="15"/>
  <c r="O49" i="15"/>
  <c r="O48" i="15"/>
  <c r="O47" i="15"/>
  <c r="O46" i="15"/>
  <c r="O45" i="15"/>
  <c r="O44" i="15"/>
  <c r="O43" i="15"/>
  <c r="O42" i="15"/>
  <c r="O41" i="15"/>
  <c r="O40" i="15"/>
  <c r="O39" i="15"/>
  <c r="O38" i="15"/>
  <c r="O37" i="15"/>
  <c r="O36" i="15"/>
  <c r="O35" i="15"/>
  <c r="O34" i="15"/>
  <c r="O33" i="15"/>
  <c r="O32" i="15"/>
  <c r="O31" i="15"/>
  <c r="O30" i="15"/>
  <c r="O29" i="15"/>
  <c r="O28" i="15"/>
  <c r="O27" i="15"/>
  <c r="O26" i="15"/>
  <c r="O25" i="15"/>
  <c r="O24" i="15"/>
  <c r="O23" i="15"/>
  <c r="O22" i="15"/>
  <c r="O21" i="15"/>
  <c r="O20" i="15"/>
  <c r="O19" i="15"/>
  <c r="O18" i="15"/>
  <c r="O17" i="15"/>
  <c r="O16" i="15"/>
  <c r="O15" i="15"/>
  <c r="I98" i="20"/>
  <c r="I98" i="21"/>
  <c r="A13" i="21"/>
  <c r="B10" i="21"/>
  <c r="E9" i="21"/>
  <c r="I98" i="25"/>
  <c r="A13" i="25"/>
  <c r="B10" i="25"/>
  <c r="E9" i="25"/>
  <c r="J98" i="29"/>
  <c r="I98" i="29"/>
  <c r="A13" i="29"/>
  <c r="B10" i="29"/>
  <c r="E9" i="29"/>
  <c r="I98" i="18"/>
  <c r="A13" i="18"/>
  <c r="B10" i="18"/>
  <c r="E9" i="18"/>
  <c r="I98" i="24"/>
  <c r="A13" i="24"/>
  <c r="B10" i="24"/>
  <c r="E9" i="24"/>
  <c r="J98" i="23"/>
  <c r="I98" i="23"/>
  <c r="A13" i="23"/>
  <c r="B10" i="23"/>
  <c r="E9" i="23"/>
  <c r="I98" i="22"/>
  <c r="A13" i="22"/>
  <c r="B10" i="22"/>
  <c r="E9" i="22"/>
  <c r="I98" i="28"/>
  <c r="H96" i="28"/>
  <c r="H95" i="28"/>
  <c r="H94" i="28"/>
  <c r="H93" i="28"/>
  <c r="H92" i="28"/>
  <c r="H91" i="28"/>
  <c r="H90" i="28"/>
  <c r="H89" i="28"/>
  <c r="H88" i="28"/>
  <c r="H87" i="28"/>
  <c r="H86" i="28"/>
  <c r="H85" i="28"/>
  <c r="H84" i="28"/>
  <c r="H83" i="28"/>
  <c r="H82" i="28"/>
  <c r="H81" i="28"/>
  <c r="H80" i="28"/>
  <c r="H79" i="28"/>
  <c r="H78" i="28"/>
  <c r="H77" i="28"/>
  <c r="H76" i="28"/>
  <c r="H75" i="28"/>
  <c r="H74" i="28"/>
  <c r="H73" i="28"/>
  <c r="H72" i="28"/>
  <c r="H71" i="28"/>
  <c r="H70" i="28"/>
  <c r="H69" i="28"/>
  <c r="H68" i="28"/>
  <c r="H67" i="28"/>
  <c r="H66" i="28"/>
  <c r="H65" i="28"/>
  <c r="H64" i="28"/>
  <c r="H63" i="28"/>
  <c r="H62" i="28"/>
  <c r="H61" i="28"/>
  <c r="H60" i="28"/>
  <c r="H59" i="28"/>
  <c r="H58" i="28"/>
  <c r="H57" i="28"/>
  <c r="H56" i="28"/>
  <c r="H55" i="28"/>
  <c r="H54" i="28"/>
  <c r="H53" i="28"/>
  <c r="H52" i="28"/>
  <c r="H51" i="28"/>
  <c r="H50" i="28"/>
  <c r="H49" i="28"/>
  <c r="H48" i="28"/>
  <c r="H47" i="28"/>
  <c r="H46" i="28"/>
  <c r="H45" i="28"/>
  <c r="H44" i="28"/>
  <c r="H43" i="28"/>
  <c r="H42" i="28"/>
  <c r="H41" i="28"/>
  <c r="H40" i="28"/>
  <c r="H39" i="28"/>
  <c r="H38" i="28"/>
  <c r="H37" i="28"/>
  <c r="H36" i="28"/>
  <c r="H35" i="28"/>
  <c r="H34" i="28"/>
  <c r="H33" i="28"/>
  <c r="H32" i="28"/>
  <c r="H31" i="28"/>
  <c r="A13" i="28"/>
  <c r="B10" i="28"/>
  <c r="E9" i="28"/>
  <c r="R98" i="27"/>
  <c r="J98" i="27"/>
  <c r="I98" i="27"/>
  <c r="A13" i="27"/>
  <c r="B10" i="27"/>
  <c r="E9" i="27"/>
  <c r="J98" i="26"/>
  <c r="I98" i="26"/>
  <c r="A13" i="26"/>
  <c r="B10" i="26"/>
  <c r="E9" i="26"/>
  <c r="C16" i="5"/>
  <c r="E16" i="5"/>
  <c r="H16" i="5"/>
  <c r="D16" i="5"/>
  <c r="D17" i="5"/>
  <c r="I17" i="5"/>
  <c r="C17" i="5"/>
  <c r="I15" i="5"/>
  <c r="H15" i="5"/>
  <c r="J15" i="5"/>
  <c r="I16" i="5"/>
  <c r="J16" i="5"/>
  <c r="J17" i="5"/>
  <c r="F16" i="5"/>
  <c r="G16" i="5"/>
  <c r="G15" i="5"/>
  <c r="G17" i="5"/>
  <c r="J19" i="5"/>
  <c r="F194" i="31"/>
  <c r="F199" i="31"/>
  <c r="F181" i="31"/>
  <c r="F187" i="31"/>
  <c r="D105" i="31"/>
  <c r="I105" i="31"/>
  <c r="D48" i="31"/>
  <c r="I48" i="31"/>
  <c r="D149" i="31"/>
  <c r="I149" i="31"/>
  <c r="D8" i="31"/>
  <c r="I8" i="31"/>
  <c r="I10" i="31"/>
  <c r="D10" i="31"/>
  <c r="D15" i="31"/>
  <c r="D18" i="31"/>
  <c r="I15" i="31"/>
  <c r="I18" i="31"/>
  <c r="F170" i="31"/>
  <c r="F175" i="31"/>
  <c r="D135" i="31"/>
  <c r="I135" i="31"/>
  <c r="D77" i="31"/>
  <c r="I77" i="31"/>
</calcChain>
</file>

<file path=xl/sharedStrings.xml><?xml version="1.0" encoding="utf-8"?>
<sst xmlns="http://schemas.openxmlformats.org/spreadsheetml/2006/main" count="10623" uniqueCount="716">
  <si>
    <t>Natural Gas Cost in USD for 2013 from National Grid Bills</t>
    <phoneticPr fontId="7" type="noConversion"/>
  </si>
  <si>
    <t>Town Parks</t>
  </si>
  <si>
    <t>Pumps</t>
  </si>
  <si>
    <t>Clifton Commons</t>
  </si>
  <si>
    <t>Outdoor_Lighting</t>
    <phoneticPr fontId="7" type="noConversion"/>
  </si>
  <si>
    <t>Facility_List</t>
  </si>
  <si>
    <t>N/A</t>
    <phoneticPr fontId="7" type="noConversion"/>
  </si>
  <si>
    <t>C/C Little League Facility</t>
  </si>
  <si>
    <t>C/C Soccer Facility</t>
  </si>
  <si>
    <t>C/C Baseball Facility</t>
  </si>
  <si>
    <t>C/C Stage</t>
  </si>
  <si>
    <t>C/C Softball Facility</t>
  </si>
  <si>
    <t>Dog Park</t>
    <phoneticPr fontId="7" type="noConversion"/>
  </si>
  <si>
    <t>Spirit Park</t>
  </si>
  <si>
    <t>Veterans Park</t>
    <phoneticPr fontId="7" type="noConversion"/>
  </si>
  <si>
    <t>Burning Bush Pool</t>
    <phoneticPr fontId="7" type="noConversion"/>
  </si>
  <si>
    <t>Barney Rd Pool</t>
    <phoneticPr fontId="7" type="noConversion"/>
  </si>
  <si>
    <t>C/C Restrooms</t>
  </si>
  <si>
    <t>Town_Bldgs</t>
    <phoneticPr fontId="7" type="noConversion"/>
  </si>
  <si>
    <t>Admin Bldgs</t>
    <phoneticPr fontId="7" type="noConversion"/>
  </si>
  <si>
    <t>Town_Bldgs</t>
    <phoneticPr fontId="7" type="noConversion"/>
  </si>
  <si>
    <t>510 Clifton Park Center Rd Park Lights, @ Moe Rd</t>
    <phoneticPr fontId="7" type="noConversion"/>
  </si>
  <si>
    <t>Rt 146 and School Rd</t>
    <phoneticPr fontId="7" type="noConversion"/>
  </si>
  <si>
    <t>NY 146 *TFLT, ID 6042049200 CLIFTON PARK</t>
    <phoneticPr fontId="7" type="noConversion"/>
  </si>
  <si>
    <t>BST light at Clifton Common</t>
  </si>
  <si>
    <t>VISCHER FERRY RD, SOCCER FIELD</t>
    <phoneticPr fontId="7" type="noConversion"/>
  </si>
  <si>
    <t>IVY CT CLIFTON PARK NY 12065</t>
    <phoneticPr fontId="7" type="noConversion"/>
  </si>
  <si>
    <t>SETTLERS LN BALLSTON LAKE NY 12019</t>
    <phoneticPr fontId="7" type="noConversion"/>
  </si>
  <si>
    <t xml:space="preserve">NOTTINGHAM WAY </t>
    <phoneticPr fontId="7" type="noConversion"/>
  </si>
  <si>
    <t>LONGKILL RD *LITE JONESVILLE</t>
    <phoneticPr fontId="7" type="noConversion"/>
  </si>
  <si>
    <t>DORCHESTER ST *SIGN</t>
    <phoneticPr fontId="7" type="noConversion"/>
  </si>
  <si>
    <t xml:space="preserve">LONGKILL RD, SPRINKLER </t>
    <phoneticPr fontId="7" type="noConversion"/>
  </si>
  <si>
    <t xml:space="preserve">EVERGREEN ESTATE, EVERGREEN ESTATE </t>
    <phoneticPr fontId="7" type="noConversion"/>
  </si>
  <si>
    <t>ALPLAUS AVE, POLE 35 REXFORD NY 12148</t>
    <phoneticPr fontId="7" type="noConversion"/>
  </si>
  <si>
    <t>WOODSTEAD RD BALLSTON LAKE NY 12019</t>
    <phoneticPr fontId="7" type="noConversion"/>
  </si>
  <si>
    <t xml:space="preserve"> Locust Lane</t>
    <phoneticPr fontId="7" type="noConversion"/>
  </si>
  <si>
    <t>CRESENT RD *TFLT, @OKTE SCHOOL #4</t>
    <phoneticPr fontId="7" type="noConversion"/>
  </si>
  <si>
    <t>RIVERVIEW RD *PUMP REXFORD NY 12148</t>
    <phoneticPr fontId="7" type="noConversion"/>
  </si>
  <si>
    <t xml:space="preserve">5 LOCUST LN </t>
    <phoneticPr fontId="7" type="noConversion"/>
  </si>
  <si>
    <t xml:space="preserve">CLIFTON COMMONS BLVD </t>
    <phoneticPr fontId="7" type="noConversion"/>
  </si>
  <si>
    <t xml:space="preserve">GLOUCESTER ST </t>
    <phoneticPr fontId="7" type="noConversion"/>
  </si>
  <si>
    <t xml:space="preserve">GLOUCESTER ST </t>
    <phoneticPr fontId="7" type="noConversion"/>
  </si>
  <si>
    <t xml:space="preserve">VANPATTEN DR </t>
    <phoneticPr fontId="7" type="noConversion"/>
  </si>
  <si>
    <t xml:space="preserve">BARNEY RD *POOL </t>
    <phoneticPr fontId="7" type="noConversion"/>
  </si>
  <si>
    <t>NOTT RD *PUMP REXFORD NY 12148</t>
    <phoneticPr fontId="7" type="noConversion"/>
  </si>
  <si>
    <t xml:space="preserve">CLIFTON PARK CENTER RD *TFLT, @VISCHERS FERRY RD </t>
    <phoneticPr fontId="7" type="noConversion"/>
  </si>
  <si>
    <t xml:space="preserve">STONEGATE 1 </t>
    <phoneticPr fontId="7" type="noConversion"/>
  </si>
  <si>
    <t xml:space="preserve">VISCHER FERRY RD </t>
    <phoneticPr fontId="7" type="noConversion"/>
  </si>
  <si>
    <t>TREVOR CT</t>
    <phoneticPr fontId="7" type="noConversion"/>
  </si>
  <si>
    <t>ROLLING BROOK DR</t>
    <phoneticPr fontId="7" type="noConversion"/>
  </si>
  <si>
    <t xml:space="preserve">0 CLIFTON PARK CENTER RD, BEACON- P 6 CLIFTON PARK NY 12065          </t>
    <phoneticPr fontId="7" type="noConversion"/>
  </si>
  <si>
    <t xml:space="preserve">0 CLIFTON PARK CENTER RD CLIFTON PARK NY 12065                       </t>
    <phoneticPr fontId="7" type="noConversion"/>
  </si>
  <si>
    <t xml:space="preserve">1 TOWN HALL PLZ CLIFTON PARK NY 12065                                </t>
    <phoneticPr fontId="7" type="noConversion"/>
  </si>
  <si>
    <t xml:space="preserve">0 MOE RD CLIFTON PARK NY 12065                                       </t>
    <phoneticPr fontId="7" type="noConversion"/>
  </si>
  <si>
    <t>Acct No.</t>
    <phoneticPr fontId="7" type="noConversion"/>
  </si>
  <si>
    <t>LTG DIST NUTMEG, NUTMEG</t>
    <phoneticPr fontId="7" type="noConversion"/>
  </si>
  <si>
    <t>SETTLERS LN BALLSTON LAKE NY 12019</t>
    <phoneticPr fontId="7" type="noConversion"/>
  </si>
  <si>
    <t>VISCHER FERRY RD</t>
    <phoneticPr fontId="7" type="noConversion"/>
  </si>
  <si>
    <t xml:space="preserve"> RIVERVIEW PK D#1 </t>
    <phoneticPr fontId="7" type="noConversion"/>
  </si>
  <si>
    <t xml:space="preserve">ROUTE 146 *SIGN </t>
    <phoneticPr fontId="7" type="noConversion"/>
  </si>
  <si>
    <t xml:space="preserve">NYS RT 146 *OTHR </t>
    <phoneticPr fontId="7" type="noConversion"/>
  </si>
  <si>
    <t>SUGAR HILL RD REXFORD NY 12148</t>
    <phoneticPr fontId="7" type="noConversion"/>
  </si>
  <si>
    <t xml:space="preserve">CARLTON DR *TFLT, LOC ID #6041048433 </t>
    <phoneticPr fontId="7" type="noConversion"/>
  </si>
  <si>
    <t xml:space="preserve">BROADLEAF DR, POLE </t>
    <phoneticPr fontId="7" type="noConversion"/>
  </si>
  <si>
    <t>LONGKILL RD *TFLT, @ USHERS BALLSTON LAKE NY 12019</t>
    <phoneticPr fontId="7" type="noConversion"/>
  </si>
  <si>
    <t xml:space="preserve">WILD FLOWER WAY *PUMP </t>
    <phoneticPr fontId="7" type="noConversion"/>
  </si>
  <si>
    <t xml:space="preserve">VISCHER FERRY RD </t>
    <phoneticPr fontId="7" type="noConversion"/>
  </si>
  <si>
    <t xml:space="preserve">CLIFTON COUNTRY RD *TFLT, ID 6042049197 </t>
    <phoneticPr fontId="7" type="noConversion"/>
  </si>
  <si>
    <t>CLIFTON PARK CENTER RD *TFLT, @SITTERLY#6042049196 12065</t>
    <phoneticPr fontId="7" type="noConversion"/>
  </si>
  <si>
    <t xml:space="preserve">MOE RD *TFLT, @CLIFTON PARK CTR RD </t>
    <phoneticPr fontId="7" type="noConversion"/>
  </si>
  <si>
    <t xml:space="preserve">KNOLLWOOD DR </t>
    <phoneticPr fontId="7" type="noConversion"/>
  </si>
  <si>
    <t xml:space="preserve">0 CLIFTON PARK CTR RD *TFLT, @VISCHERS FERRY RD  </t>
  </si>
  <si>
    <t>NMPC_Elec_   Billings</t>
  </si>
  <si>
    <t>Gas_Read_     Date</t>
  </si>
  <si>
    <t>Gas_No._Days</t>
  </si>
  <si>
    <t xml:space="preserve">05527043 </t>
  </si>
  <si>
    <t xml:space="preserve">0 LOCUST LN, (POOL) CLIFTON PARK NY 12065                            </t>
    <phoneticPr fontId="7" type="noConversion"/>
  </si>
  <si>
    <t xml:space="preserve">0 CLIFTON PARK CENTER RD, BEACON-P 8-1 CLIFTON PARK NY 12065         </t>
    <phoneticPr fontId="7" type="noConversion"/>
  </si>
  <si>
    <t xml:space="preserve">0 BURNING BUSH BLVD CLIFTON PARK NY 12065                            </t>
    <phoneticPr fontId="7" type="noConversion"/>
  </si>
  <si>
    <t xml:space="preserve">0 VISCHER FERRY RD *STD CLIFTON PARK NY 12065                        </t>
    <phoneticPr fontId="7" type="noConversion"/>
  </si>
  <si>
    <t xml:space="preserve">0 CLIFTON PARK CENTER RD *GAR CLIFTON PARK NY 12065                  </t>
    <phoneticPr fontId="7" type="noConversion"/>
  </si>
  <si>
    <t xml:space="preserve">0 CLIFTON COMMONS BLVD CLIFTON PARK NY 12065                         </t>
    <phoneticPr fontId="7" type="noConversion"/>
  </si>
  <si>
    <t xml:space="preserve">56475179 </t>
  </si>
  <si>
    <t xml:space="preserve">0 MACELROY RD BALLSTON LAKE NY 12019                                 </t>
    <phoneticPr fontId="7" type="noConversion"/>
  </si>
  <si>
    <t xml:space="preserve">5 LOCUST LN CLIFTON PARK NY 12065                                    </t>
    <phoneticPr fontId="7" type="noConversion"/>
  </si>
  <si>
    <t xml:space="preserve">0 VISCHER FERRY RD CLIFTON PARK NY 12065                             </t>
    <phoneticPr fontId="7" type="noConversion"/>
  </si>
  <si>
    <t xml:space="preserve">0 BEECHWOOD DR *STD CLIFTON PARK NY 12065                            </t>
    <phoneticPr fontId="7" type="noConversion"/>
  </si>
  <si>
    <t xml:space="preserve">1 BARNEY RD, POLE 25 CLIFTON PARK NY 12065                           </t>
    <phoneticPr fontId="7" type="noConversion"/>
  </si>
  <si>
    <t xml:space="preserve">05638049 </t>
  </si>
  <si>
    <t xml:space="preserve">0 NOTT RD *PUMP REXFORD NY 12148                                     </t>
  </si>
  <si>
    <t xml:space="preserve">33560640 </t>
  </si>
  <si>
    <t xml:space="preserve">T5044327 </t>
  </si>
  <si>
    <t xml:space="preserve">0 STONEGATE 1, STONEGATE 1 CLIFTON PARK NY 12065                     </t>
  </si>
  <si>
    <t xml:space="preserve">0N498294 </t>
  </si>
  <si>
    <t xml:space="preserve">467 VISCHER FERRY RD CLIFTON PARK NY 12065                           </t>
  </si>
  <si>
    <t xml:space="preserve">001 Electric SC1 Non Heat                        </t>
  </si>
  <si>
    <t xml:space="preserve">32843597 </t>
  </si>
  <si>
    <t xml:space="preserve">01224690 </t>
  </si>
  <si>
    <t xml:space="preserve">80639194 </t>
  </si>
  <si>
    <t xml:space="preserve">0 TREVOR CT CLIFTON PARK NY 12065                                    </t>
  </si>
  <si>
    <t xml:space="preserve">31488520 </t>
  </si>
  <si>
    <t xml:space="preserve">1 TOWN HALL PLZ CLIFTON PARK NY 12065                                </t>
  </si>
  <si>
    <t xml:space="preserve">55969432 </t>
  </si>
  <si>
    <t xml:space="preserve">T3911949 </t>
  </si>
  <si>
    <t xml:space="preserve">0 ROLLING BROOK DR CLIFTON PARK NY 12065                             </t>
  </si>
  <si>
    <t xml:space="preserve">31405114 </t>
  </si>
  <si>
    <t xml:space="preserve">0 MOE RD CLIFTON PARK NY 12065                                       </t>
  </si>
  <si>
    <t xml:space="preserve">05508289 </t>
  </si>
  <si>
    <t>Name</t>
  </si>
  <si>
    <t xml:space="preserve">TOWN OF CLIFTON PARK                                    </t>
  </si>
  <si>
    <t>Elec_Read_ Date</t>
  </si>
  <si>
    <t xml:space="preserve">05520098 </t>
  </si>
  <si>
    <t xml:space="preserve">57721030 </t>
  </si>
  <si>
    <t xml:space="preserve">45868210 </t>
  </si>
  <si>
    <t xml:space="preserve">55482056 </t>
  </si>
  <si>
    <t>Final Reading</t>
  </si>
  <si>
    <t xml:space="preserve">57721041 </t>
  </si>
  <si>
    <t xml:space="preserve">57596470 </t>
  </si>
  <si>
    <t xml:space="preserve">57721039 </t>
  </si>
  <si>
    <t>Elec_Read_             Date</t>
  </si>
  <si>
    <t>Elec_ Number_ Days</t>
  </si>
  <si>
    <t>Elec_Read_  Type</t>
  </si>
  <si>
    <t>NMPC_Elec_  Billings</t>
  </si>
  <si>
    <t>Gas_  Number_Days</t>
  </si>
  <si>
    <t>NMPC_Gas_ Billings</t>
  </si>
  <si>
    <t xml:space="preserve">57726017 </t>
  </si>
  <si>
    <t xml:space="preserve">57728174 </t>
  </si>
  <si>
    <t xml:space="preserve">57548537 </t>
  </si>
  <si>
    <t xml:space="preserve">57728176 </t>
  </si>
  <si>
    <t xml:space="preserve">57728168 </t>
  </si>
  <si>
    <t>Estimate Reading</t>
  </si>
  <si>
    <t xml:space="preserve">57728800 </t>
  </si>
  <si>
    <t>Au</t>
  </si>
  <si>
    <t xml:space="preserve">57721749 </t>
  </si>
  <si>
    <t xml:space="preserve">57529170 </t>
  </si>
  <si>
    <t>510 CLIFTON PARK CENTER RD, PARK LIGHTS CLIFTON PARK</t>
  </si>
  <si>
    <t xml:space="preserve">6 CLIFTON COMMONS BLVD, SENIOR CTR CLIFTON PARK </t>
  </si>
  <si>
    <t xml:space="preserve">0 CARLTON DR *TFLT, LOC ID #6041048433 CLIFTON PARK </t>
  </si>
  <si>
    <t xml:space="preserve">0 CLIFTON COUNTRY RD *TFLT, ID 6042049197 CLIFTON PARK </t>
  </si>
  <si>
    <t xml:space="preserve">0 CLIFTON PARK CENTER RD *TFLT, @SITTERLY#6042049196 </t>
  </si>
  <si>
    <t xml:space="preserve">0 CLIFTON PARK CENTER RD, BEACON-P 8-1 CLIFTON PARK </t>
  </si>
  <si>
    <t xml:space="preserve">0 VISCHER FERRY RD, SOCCOR FIELD CLIFTON PARK     </t>
  </si>
  <si>
    <t xml:space="preserve">55 CLIFTON COUNTRY RD, SEWER PUMP LIFT CLIFTON PARK        </t>
  </si>
  <si>
    <t xml:space="preserve">0 EVERGREEN ESTATE, CLIFTON PARK NY 12065           </t>
  </si>
  <si>
    <t>0 CRESENT RD *TFLT, @OKTE SCHOOL #4 CLIFTON PARK</t>
  </si>
  <si>
    <t>Special Company Reading</t>
  </si>
  <si>
    <t xml:space="preserve">0 CLIFTON PARK CENTER RD, BEACON- P 6 CLIFTON PARK </t>
  </si>
  <si>
    <t xml:space="preserve">9 BURNING BUSH BLVD *POOL BALLSTON LAKE NY 12019                     </t>
  </si>
  <si>
    <t xml:space="preserve">58565517 </t>
  </si>
  <si>
    <t xml:space="preserve">0 WOODSTEAD RD BALLSTON LAKE NY 12019                                </t>
  </si>
  <si>
    <t xml:space="preserve">84349751 </t>
  </si>
  <si>
    <t xml:space="preserve">0 LOCUST LN *SHOP CLIFTON PARK NY 12065                              </t>
  </si>
  <si>
    <t xml:space="preserve">0E734444 </t>
  </si>
  <si>
    <t xml:space="preserve">477 CLIFTON PARK CENTER RD CLIFTON PARK NY 12065                     </t>
  </si>
  <si>
    <t xml:space="preserve">39283587 </t>
  </si>
  <si>
    <t xml:space="preserve">0V415145 </t>
  </si>
  <si>
    <t xml:space="preserve">0 CRESENT RD *TFLT, @OKTE SCHOOL #4 CLIFTON PARK NY 12065            </t>
  </si>
  <si>
    <t xml:space="preserve">NO   4         </t>
  </si>
  <si>
    <t xml:space="preserve">968 Lighting SC4 T&amp;D Traffic Signals             </t>
  </si>
  <si>
    <t xml:space="preserve">0 CLIFTON COMMONS BLVD CLIFTON PARK NY 12065                         </t>
  </si>
  <si>
    <t xml:space="preserve">32068957 </t>
  </si>
  <si>
    <t xml:space="preserve">81160464 </t>
  </si>
  <si>
    <t xml:space="preserve">0 RIVERVIEW RD *PUMP REXFORD NY 12148                                </t>
  </si>
  <si>
    <t xml:space="preserve">637 Gas SC2 Small Gen Comm Non Heat              </t>
  </si>
  <si>
    <t xml:space="preserve">05519506 </t>
  </si>
  <si>
    <t xml:space="preserve">T4580779 </t>
  </si>
  <si>
    <t xml:space="preserve">0 MACELROY RD BALLSTON LAKE NY 12019                                 </t>
  </si>
  <si>
    <t xml:space="preserve">32465099 </t>
  </si>
  <si>
    <t xml:space="preserve">0 GENERAL, GENERAL CLIFTON PARK NY 12065                             </t>
  </si>
  <si>
    <t xml:space="preserve">5 LOCUST LN CLIFTON PARK NY 12065                                    </t>
  </si>
  <si>
    <t xml:space="preserve">27199642 </t>
  </si>
  <si>
    <t xml:space="preserve">27600518 </t>
  </si>
  <si>
    <t xml:space="preserve">0 BEECHWOOD DR *STD CLIFTON PARK NY 12065                            </t>
  </si>
  <si>
    <t xml:space="preserve">31243308 </t>
  </si>
  <si>
    <t xml:space="preserve">32068963 </t>
  </si>
  <si>
    <t xml:space="preserve">0 GLOUCESTER ST CLIFTON PARK NY 12065                                </t>
  </si>
  <si>
    <t xml:space="preserve">32068964 </t>
  </si>
  <si>
    <t xml:space="preserve">26985877 </t>
  </si>
  <si>
    <t xml:space="preserve">0 VANPATTEN DR CLIFTON PARK NY 12065                                 </t>
  </si>
  <si>
    <t xml:space="preserve">56021208 </t>
  </si>
  <si>
    <t xml:space="preserve">0 BARNEY RD *POOL CLIFTON PARK NY 12065                              </t>
  </si>
  <si>
    <t xml:space="preserve">33959209 </t>
  </si>
  <si>
    <t xml:space="preserve">65 REDFIELD PARK CLIFTON PARK NY 12065                               </t>
  </si>
  <si>
    <t xml:space="preserve">33065838 </t>
  </si>
  <si>
    <t xml:space="preserve">0 NY 146 *TFLT, ID 6042049200 CLIFTON PARK NY 12065                  </t>
  </si>
  <si>
    <t xml:space="preserve">35094281 </t>
  </si>
  <si>
    <t xml:space="preserve">0 VISCHER FERRY RD *PUMP CLIFTON PARK NY 12065                       </t>
  </si>
  <si>
    <t xml:space="preserve">35800861 </t>
  </si>
  <si>
    <t xml:space="preserve">1 BARNEY RD, POLE 25 CLIFTON PARK NY 12065                           </t>
  </si>
  <si>
    <t xml:space="preserve">31372351 </t>
  </si>
  <si>
    <t xml:space="preserve">0 CLIFTON PARK CENTER RD, BEACON- P 6 CLIFTON PARK NY 12065          </t>
  </si>
  <si>
    <t xml:space="preserve">32554965 </t>
  </si>
  <si>
    <t>0 CLIFTON PARK CENTER RD *TFLT, @VISCHERS FERRY RD CLIFTON PARK 12065</t>
  </si>
  <si>
    <t xml:space="preserve">31223131 </t>
  </si>
  <si>
    <t xml:space="preserve">0 KNOLLWOOD DR CLIFTON PARK NY 12065                                 </t>
  </si>
  <si>
    <t xml:space="preserve">81362146 </t>
  </si>
  <si>
    <t xml:space="preserve">0 CLIFTON PARK CENTER RD, BEACON-P 8-1 CLIFTON PARK NY 12065         </t>
  </si>
  <si>
    <t xml:space="preserve">32557031 </t>
  </si>
  <si>
    <t xml:space="preserve">30 RAY RD, DOG PARK REXFORD NY 12148                                 </t>
  </si>
  <si>
    <t xml:space="preserve">46450564 </t>
  </si>
  <si>
    <t xml:space="preserve">0 VISCHER FERRY RD *LITE CLIFTON PARK NY 12065                       </t>
  </si>
  <si>
    <t xml:space="preserve">965 Lighting SC1 T&amp;D  Private Area Lighting      </t>
  </si>
  <si>
    <t xml:space="preserve">147-1/2 WOOD DALE DR BALLSTON LAKE NY 12019                          </t>
  </si>
  <si>
    <t xml:space="preserve">31242953 </t>
  </si>
  <si>
    <t xml:space="preserve">T4580624 </t>
  </si>
  <si>
    <t xml:space="preserve">0 CLIFTON PARK CENTER RD CLIFTON PARK NY 12065                       </t>
  </si>
  <si>
    <t xml:space="preserve">41179915 </t>
  </si>
  <si>
    <t xml:space="preserve">0 VISCHER FERRY RD, SOCCOR FIELD CLIFTON PARK NY 12065               </t>
  </si>
  <si>
    <t xml:space="preserve">38559327 </t>
  </si>
  <si>
    <t xml:space="preserve">0 IVY CT CLIFTON PARK NY 12065                                       </t>
  </si>
  <si>
    <t xml:space="preserve">28893388 </t>
  </si>
  <si>
    <t xml:space="preserve">00 SETTLERS LN BALLSTON LAKE NY 12019                                </t>
  </si>
  <si>
    <t xml:space="preserve">0C743415 </t>
  </si>
  <si>
    <t xml:space="preserve">0 NOTTINGHAM WAY S NY RTE CLIFTON PARK NY 12065                      </t>
  </si>
  <si>
    <t xml:space="preserve">355 BLUE BARNS RD *LITE CLIFTON PARK NY 12065                        </t>
  </si>
  <si>
    <t xml:space="preserve">0 LONGKILL RD *LITE JONESVILLE NY 12065                              </t>
  </si>
  <si>
    <t xml:space="preserve">29230844 </t>
  </si>
  <si>
    <t xml:space="preserve">0 DORCHESTER ST *SIGN CLIFTON PARK NY 12065                          </t>
  </si>
  <si>
    <t xml:space="preserve">31607979 </t>
  </si>
  <si>
    <t xml:space="preserve">55 CLIFTON COUNTRY RD, SEWER PUMP LIFT CLIFTON PARK NY 12065         </t>
  </si>
  <si>
    <t xml:space="preserve">56023158 </t>
  </si>
  <si>
    <t xml:space="preserve">T4861064 </t>
  </si>
  <si>
    <t xml:space="preserve">0 BURNING BUSH BLVD CLIFTON PARK NY 12065                            </t>
  </si>
  <si>
    <t xml:space="preserve">0W774366 </t>
  </si>
  <si>
    <t xml:space="preserve">3 MAPLE RDG BALLSTON LAKE NY 12019                                   </t>
  </si>
  <si>
    <t xml:space="preserve">55966706 </t>
  </si>
  <si>
    <t xml:space="preserve">0 LONGKILL RD, SPRINKLER CLIFTON PARK NY 12065                       </t>
  </si>
  <si>
    <t xml:space="preserve">32770577 </t>
  </si>
  <si>
    <t xml:space="preserve">0 EVERGREEN ESTATE, EVERGREEN ESTATE CLIFTON PARK NY 12065           </t>
  </si>
  <si>
    <t xml:space="preserve">0 ALPLAUS AVE, POLE 35 REXFORD NY 12148                              </t>
  </si>
  <si>
    <t xml:space="preserve">27017109 </t>
  </si>
  <si>
    <t xml:space="preserve">0 VISCHER FERRY RD *STD CLIFTON PARK NY 12065                        </t>
  </si>
  <si>
    <t xml:space="preserve">32068958 </t>
  </si>
  <si>
    <t xml:space="preserve">0 CLIFTON PARK CENTER RD *GAR CLIFTON PARK NY 12065                  </t>
  </si>
  <si>
    <t xml:space="preserve">33816546 </t>
  </si>
  <si>
    <t xml:space="preserve">05395004 </t>
  </si>
  <si>
    <t xml:space="preserve">400 Gas SC1 Res Heat                             </t>
  </si>
  <si>
    <t xml:space="preserve">31725034 </t>
  </si>
  <si>
    <t xml:space="preserve">13414444 </t>
  </si>
  <si>
    <t xml:space="preserve">9 BURNING BUSH BLVD *LITE BALLSTON LAKE NY 12019                     </t>
  </si>
  <si>
    <t>Forced Estimate</t>
  </si>
  <si>
    <t xml:space="preserve">31243244 </t>
  </si>
  <si>
    <t xml:space="preserve">0 ROUTE 146 *SIGN CLIFTON PARK NY 12065                              </t>
  </si>
  <si>
    <t xml:space="preserve">29395949 </t>
  </si>
  <si>
    <t xml:space="preserve">5 MUNICIPAL PLZ, COMMERCIAL CLIFTON PARK NY 12065                    </t>
  </si>
  <si>
    <t xml:space="preserve">0H863837 </t>
  </si>
  <si>
    <t xml:space="preserve">12 GREEN MEADOW DR CLIFTON PARK NY 12065                             </t>
  </si>
  <si>
    <t xml:space="preserve">58566305 </t>
  </si>
  <si>
    <t xml:space="preserve">0 NYS RT 146 *OTHR CLIFTON PARK NY 12065                             </t>
  </si>
  <si>
    <t xml:space="preserve">00603919 </t>
  </si>
  <si>
    <t xml:space="preserve">5 MUNICIPAL PLZ CLIFTON PARK NY 12065                                </t>
  </si>
  <si>
    <t xml:space="preserve">00603917 </t>
  </si>
  <si>
    <t xml:space="preserve">0 NYS RT 146 CLIFTON PARK NY 12065                                   </t>
  </si>
  <si>
    <t xml:space="preserve">00603916 </t>
  </si>
  <si>
    <t xml:space="preserve">0 DENKERS DR BALLSTON LAKE NY 12019                                  </t>
  </si>
  <si>
    <t xml:space="preserve">005 Electric SC2                                 </t>
  </si>
  <si>
    <t xml:space="preserve">05511183 </t>
  </si>
  <si>
    <t xml:space="preserve">0 SUGAR HILL RD REXFORD NY 12148                                     </t>
  </si>
  <si>
    <t xml:space="preserve">33709344 </t>
  </si>
  <si>
    <t xml:space="preserve">98 SITTERLY RD *TFLT CLIFTON PARK NY 12065                           </t>
  </si>
  <si>
    <t xml:space="preserve">29902375 </t>
  </si>
  <si>
    <t xml:space="preserve">0 CARLTON DR *TFLT, LOC ID #6041048433 CLIFTON PARK NY 12065         </t>
  </si>
  <si>
    <t xml:space="preserve">21231145 </t>
  </si>
  <si>
    <t xml:space="preserve">0 BROADLEAF DR, POLE CLIFTON PARK NY 12065                           </t>
  </si>
  <si>
    <t xml:space="preserve">26418582 </t>
  </si>
  <si>
    <t xml:space="preserve">0 LONGKILL RD *TFLT, @ USHERS BALLSTON LAKE NY 12019                 </t>
  </si>
  <si>
    <t xml:space="preserve">32033612 </t>
  </si>
  <si>
    <t xml:space="preserve">0 WILD FLOWER WAY *PUMP CLIFTON PARK NY 12065                        </t>
  </si>
  <si>
    <t xml:space="preserve">26984422 </t>
  </si>
  <si>
    <t xml:space="preserve">40462302 </t>
  </si>
  <si>
    <t xml:space="preserve">0 CLIFTON COUNTRY RD *TFLT, ID 6042049197 CLIFTON PARK NY 12065      </t>
  </si>
  <si>
    <t xml:space="preserve">27926877 </t>
  </si>
  <si>
    <t>0 CLIFTON PARK CENTER RD *TFLT, @SITTERLY#6042049196 12065          +</t>
  </si>
  <si>
    <t xml:space="preserve">31220181 </t>
  </si>
  <si>
    <t xml:space="preserve">0 MOE RD *TFLT, @CLIFTON PARK CTR RD CLIFTON PARK NY 12065           </t>
  </si>
  <si>
    <t xml:space="preserve">31218921 </t>
  </si>
  <si>
    <t xml:space="preserve">0 LOCUST LN, (POOL) CLIFTON PARK NY 12065                            </t>
  </si>
  <si>
    <t xml:space="preserve">635 Gas SC2 Small Gen Comm Heat                  </t>
  </si>
  <si>
    <t xml:space="preserve">32945172 </t>
  </si>
  <si>
    <t xml:space="preserve">0H545039 </t>
  </si>
  <si>
    <t xml:space="preserve">217 VISCHER FERRY RD CLIFTON PARK NY 12065                           </t>
  </si>
  <si>
    <t xml:space="preserve">29614508 </t>
  </si>
  <si>
    <t>Therms - Naural Gas Usage for 2013 from National Grid Bills</t>
    <phoneticPr fontId="7" type="noConversion"/>
  </si>
  <si>
    <t>Annual Sum (Therms)</t>
    <phoneticPr fontId="7" type="noConversion"/>
  </si>
  <si>
    <t>Total cost/month</t>
    <phoneticPr fontId="7" type="noConversion"/>
  </si>
  <si>
    <t>April</t>
  </si>
  <si>
    <t>June</t>
  </si>
  <si>
    <t>July</t>
  </si>
  <si>
    <t>Sept</t>
  </si>
  <si>
    <t>National Grid</t>
  </si>
  <si>
    <t>Niagara Mohawk Division</t>
  </si>
  <si>
    <t>PO Box 4706</t>
  </si>
  <si>
    <t>Syracuse, NY 13221</t>
  </si>
  <si>
    <t>Spreadsheet #</t>
  </si>
  <si>
    <t>TCP150</t>
  </si>
  <si>
    <t>Due Date</t>
  </si>
  <si>
    <t xml:space="preserve">Total due </t>
  </si>
  <si>
    <t xml:space="preserve">Spreadsheet covers the period from </t>
  </si>
  <si>
    <t>to</t>
  </si>
  <si>
    <t>Town of Clifton Park</t>
  </si>
  <si>
    <t>Group_Code</t>
  </si>
  <si>
    <t>Service Address</t>
  </si>
  <si>
    <t>Account Identifier</t>
  </si>
  <si>
    <t>Electric Rate</t>
  </si>
  <si>
    <t>Gas Rate</t>
  </si>
  <si>
    <t>Total_Due</t>
  </si>
  <si>
    <t>Prior Balance</t>
  </si>
  <si>
    <t>Current Charges</t>
  </si>
  <si>
    <t>Bill Date</t>
  </si>
  <si>
    <t>Elec_Read_Date</t>
  </si>
  <si>
    <t>Elec_Number_Days</t>
  </si>
  <si>
    <t>Elec_Read_Type</t>
  </si>
  <si>
    <t>Electric Meter Number</t>
  </si>
  <si>
    <t>Total KWH</t>
  </si>
  <si>
    <t>Metered Total KW</t>
  </si>
  <si>
    <t>Load_Factor</t>
  </si>
  <si>
    <t>NMPC_Elec_Billings</t>
  </si>
  <si>
    <t>Gas_Read_Date</t>
  </si>
  <si>
    <t>Gas_Number_Days</t>
  </si>
  <si>
    <t>Gas_Read_Type</t>
  </si>
  <si>
    <t>Gas Meter Number</t>
  </si>
  <si>
    <t>Therms</t>
  </si>
  <si>
    <t>NMPC_Gas_Billings</t>
  </si>
  <si>
    <t>TWNCLIFTONPRK</t>
  </si>
  <si>
    <t xml:space="preserve">510 CLIFTON PARK CENTER RD, PARK LIGHTS CLIFTON PARK NY 12065        </t>
  </si>
  <si>
    <t/>
  </si>
  <si>
    <t xml:space="preserve">950 Electric SC2 T&amp;D                             </t>
  </si>
  <si>
    <t>Regular Company</t>
  </si>
  <si>
    <t xml:space="preserve">31973855 </t>
  </si>
  <si>
    <t xml:space="preserve">0 LTG DIST NUTMEG, NUTMEG CLIFTON PARK NY 12065                      </t>
  </si>
  <si>
    <t xml:space="preserve">966 Lighting SC2 T&amp;D Street Lighting             </t>
  </si>
  <si>
    <t xml:space="preserve">0 SETTLERS LN BALLSTON LAKE NY 12019                                 </t>
  </si>
  <si>
    <t xml:space="preserve">954 Electric SC2D T&amp;D                            </t>
  </si>
  <si>
    <t xml:space="preserve">33841010 </t>
  </si>
  <si>
    <t xml:space="preserve">6 CLIFTON COMMONS BLVD, SENIOR CTR CLIFTON PARK NY 12065             </t>
  </si>
  <si>
    <t xml:space="preserve">641 Gas SC2 Comm Heat Monthly Balancing          </t>
  </si>
  <si>
    <t xml:space="preserve">06010955 </t>
  </si>
  <si>
    <t xml:space="preserve">0 VISCHER FERRY RD CLIFTON PARK NY 12065                             </t>
  </si>
  <si>
    <t xml:space="preserve">33615657 </t>
  </si>
  <si>
    <t xml:space="preserve">0 RIVERVIEW PK D#1 CLIFTON PARK NY 12065                             </t>
  </si>
  <si>
    <t xml:space="preserve">0001           </t>
  </si>
  <si>
    <t xml:space="preserve">284 SUGAR HILL RD REXFORD NY 12148                                   </t>
  </si>
  <si>
    <t xml:space="preserve">903 Electric SC1 T&amp;D Non Heat                    </t>
  </si>
  <si>
    <t>Heating Oil N2O (kg /gallon)</t>
  </si>
  <si>
    <t>Total CO2e</t>
  </si>
  <si>
    <t>GHG Emissions (MTCDE)</t>
  </si>
  <si>
    <t>Option 1: Town Total</t>
  </si>
  <si>
    <t>Department</t>
  </si>
  <si>
    <t>Gasoline (gallons)</t>
  </si>
  <si>
    <t>Diesel (gallons)</t>
  </si>
  <si>
    <t>Location/Service Address</t>
    <phoneticPr fontId="7" type="noConversion"/>
  </si>
  <si>
    <t>Barney Rd Pool</t>
  </si>
  <si>
    <t>Electricity Consumption</t>
    <phoneticPr fontId="7" type="noConversion"/>
  </si>
  <si>
    <t>Natural Gas Consumption</t>
    <phoneticPr fontId="7" type="noConversion"/>
  </si>
  <si>
    <t>KWH - Electricity Usage for 2013 from National Grid Bills</t>
    <phoneticPr fontId="7" type="noConversion"/>
  </si>
  <si>
    <t>Jan</t>
    <phoneticPr fontId="7" type="noConversion"/>
  </si>
  <si>
    <t>Feb</t>
    <phoneticPr fontId="7" type="noConversion"/>
  </si>
  <si>
    <t>Mar</t>
    <phoneticPr fontId="7" type="noConversion"/>
  </si>
  <si>
    <t>Sept</t>
    <phoneticPr fontId="7" type="noConversion"/>
  </si>
  <si>
    <t>Annual Sum (KWH)</t>
    <phoneticPr fontId="7" type="noConversion"/>
  </si>
  <si>
    <t>Elec Cost in USD for 2013 from National Grid Bills</t>
    <phoneticPr fontId="7" type="noConversion"/>
  </si>
  <si>
    <t>Annual Sum (USD)</t>
    <phoneticPr fontId="7" type="noConversion"/>
  </si>
  <si>
    <t>Total cost per month</t>
    <phoneticPr fontId="7" type="noConversion"/>
  </si>
  <si>
    <t>Total Distributed</t>
  </si>
  <si>
    <t>Total Recovered</t>
  </si>
  <si>
    <t>CO2e from N2O and SO4</t>
  </si>
  <si>
    <t>Spending on gasoline ($)</t>
  </si>
  <si>
    <t>Town Hall</t>
  </si>
  <si>
    <t xml:space="preserve">9 BURNING BUSH BLVD *LITE </t>
  </si>
  <si>
    <t xml:space="preserve">9 BURNING BUSH BLVD *POOL </t>
  </si>
  <si>
    <t>KY_BA</t>
  </si>
  <si>
    <t>Facility</t>
  </si>
  <si>
    <t>Senior Center</t>
  </si>
  <si>
    <t>Public Safety Bldg</t>
  </si>
  <si>
    <t>Grooms Tavern</t>
  </si>
  <si>
    <t>Park Districts</t>
  </si>
  <si>
    <t>Town Pools</t>
  </si>
  <si>
    <t>Collins Park</t>
  </si>
  <si>
    <t>Signs</t>
  </si>
  <si>
    <t>LGOP Classification</t>
  </si>
  <si>
    <t>Administration</t>
  </si>
  <si>
    <t>Gas CO2</t>
  </si>
  <si>
    <t>Gas CH4</t>
  </si>
  <si>
    <t>Gas N2O</t>
  </si>
  <si>
    <t xml:space="preserve">Elec CO2 </t>
  </si>
  <si>
    <t xml:space="preserve">Elec CH4 </t>
  </si>
  <si>
    <t xml:space="preserve">Elec N2O </t>
  </si>
  <si>
    <t>Heating Oil CO2</t>
  </si>
  <si>
    <t>Heating Oil CH4</t>
  </si>
  <si>
    <t>Heating Oil N2O</t>
  </si>
  <si>
    <t>TOTAL CO2e</t>
  </si>
  <si>
    <t>Emission Factors for Fuels</t>
  </si>
  <si>
    <t>Global Warming Potentials</t>
  </si>
  <si>
    <t>Electric EF CO2 (lb/MWh</t>
  </si>
  <si>
    <t>CO2</t>
  </si>
  <si>
    <t>Electric EF CH4 (lb/MWh)</t>
  </si>
  <si>
    <t>CH4</t>
  </si>
  <si>
    <t>Electric EF N2O (lb/MWh)</t>
  </si>
  <si>
    <t>N2O</t>
  </si>
  <si>
    <t>Gas EF CO2 (kg/MMBTU)</t>
  </si>
  <si>
    <t>Gas EF CH4 (kg/MMBTU)</t>
  </si>
  <si>
    <t>Gas EF N2O (kg/MMBTU)</t>
  </si>
  <si>
    <t>Heating Oil CO2 (kg /gallon)</t>
  </si>
  <si>
    <t>Heating Oil CH4 (kg /gallon)</t>
  </si>
  <si>
    <t xml:space="preserve">5 MUNICIPAL PLZ </t>
  </si>
  <si>
    <t>217 VISCHER FERRY RD</t>
  </si>
  <si>
    <t>CLIFTON PARK CENTER RD</t>
  </si>
  <si>
    <t>LGOP Classification System</t>
  </si>
  <si>
    <t>LGOP Subclassifications</t>
  </si>
  <si>
    <t>PAL light</t>
    <phoneticPr fontId="7" type="noConversion"/>
  </si>
  <si>
    <t>Clifton Park sewer</t>
    <phoneticPr fontId="7" type="noConversion"/>
  </si>
  <si>
    <t>Spending on diesel  ($)</t>
  </si>
  <si>
    <t>Propane CO2</t>
  </si>
  <si>
    <t>Propane CH4</t>
  </si>
  <si>
    <t>Propane Oil N2O</t>
  </si>
  <si>
    <t>Town Classification</t>
  </si>
  <si>
    <t>Fuel and Propane Consumption</t>
  </si>
  <si>
    <t>Transfer Station</t>
  </si>
  <si>
    <t>Recreation</t>
  </si>
  <si>
    <t>Public Safety</t>
  </si>
  <si>
    <t>Miscelaneous</t>
  </si>
  <si>
    <t>Landfill Facility</t>
  </si>
  <si>
    <t>Traffic Signals</t>
  </si>
  <si>
    <t>Streetlights</t>
  </si>
  <si>
    <t>Pumping Station</t>
  </si>
  <si>
    <t>Water Delivery Other</t>
  </si>
  <si>
    <t>Water Supply Treatment Facility</t>
  </si>
  <si>
    <t>Buildings and Other Facilities</t>
  </si>
  <si>
    <t>Solid Waste Facilities</t>
  </si>
  <si>
    <t>Streetlights and Traffic Signals</t>
  </si>
  <si>
    <t>Waste Water Treatment Facilities</t>
  </si>
  <si>
    <t>Water Delivery Facilities</t>
  </si>
  <si>
    <t>Water Teatment Plant</t>
  </si>
  <si>
    <t xml:space="preserve">Total cost </t>
  </si>
  <si>
    <t>CO2 from gasoline (kg)</t>
  </si>
  <si>
    <t xml:space="preserve">CO2 from diesel (kg) </t>
  </si>
  <si>
    <t>Total CO2 (metric tons)</t>
  </si>
  <si>
    <t xml:space="preserve">30 RAY RD, DOG PARK REXFORD NY 12148  </t>
    <phoneticPr fontId="7" type="noConversion"/>
  </si>
  <si>
    <t>MACELROY RD BALLSTON LAKE NY 12019</t>
    <phoneticPr fontId="7" type="noConversion"/>
  </si>
  <si>
    <t xml:space="preserve">MOE RD </t>
    <phoneticPr fontId="7" type="noConversion"/>
  </si>
  <si>
    <t>147-1/2 WOOD DALE DR BALLSTON LAKE NY 12019</t>
    <phoneticPr fontId="7" type="noConversion"/>
  </si>
  <si>
    <t>55 CLIFTON COUNTRY RD, SEWER PUMP LIFT5</t>
    <phoneticPr fontId="7" type="noConversion"/>
  </si>
  <si>
    <t>3 MAPLE RDG BALLSTON LAKE NY 12019</t>
    <phoneticPr fontId="7" type="noConversion"/>
  </si>
  <si>
    <t>CLIFTON PARK CENTER RD, BEACON-P 8-1</t>
    <phoneticPr fontId="7" type="noConversion"/>
  </si>
  <si>
    <t>BEECHWOOD DR *STD</t>
    <phoneticPr fontId="7" type="noConversion"/>
  </si>
  <si>
    <t>CLIFTON PARK CENTER RD, BEACON- P 6</t>
    <phoneticPr fontId="7" type="noConversion"/>
  </si>
  <si>
    <t>6 CLIFTON COMMONS BLVD, SENIOR CTR</t>
    <phoneticPr fontId="7" type="noConversion"/>
  </si>
  <si>
    <t>284 SUGAR HILL RD REXFORD NY 12148</t>
    <phoneticPr fontId="7" type="noConversion"/>
  </si>
  <si>
    <t>5 MUNICIPAL PLZ, COMMERCIAL</t>
    <phoneticPr fontId="7" type="noConversion"/>
  </si>
  <si>
    <t>Vischer Ferry Rd light</t>
    <phoneticPr fontId="7" type="noConversion"/>
  </si>
  <si>
    <t>CLIFTON PARK CENTER RD *GAR</t>
    <phoneticPr fontId="7" type="noConversion"/>
  </si>
  <si>
    <t>477 CLIFTON PARK CENTER RD</t>
    <phoneticPr fontId="7" type="noConversion"/>
  </si>
  <si>
    <t xml:space="preserve">1 BARNEY RD, POLE 25 </t>
    <phoneticPr fontId="7" type="noConversion"/>
  </si>
  <si>
    <t>CLIFTON PARK CENTER RD</t>
    <phoneticPr fontId="7" type="noConversion"/>
  </si>
  <si>
    <t xml:space="preserve"> 467 Vischer Ferry Rd (Ogden house)</t>
    <phoneticPr fontId="7" type="noConversion"/>
  </si>
  <si>
    <t>1 TOWN HALL PLZ</t>
    <phoneticPr fontId="7" type="noConversion"/>
  </si>
  <si>
    <t>CLIFTON COMMONS BLVD</t>
  </si>
  <si>
    <t>VISCHER FERRY RD</t>
  </si>
  <si>
    <t>BURNING BUSH BLVD</t>
    <phoneticPr fontId="7" type="noConversion"/>
  </si>
  <si>
    <t>LOCUST LN, (POOL)</t>
    <phoneticPr fontId="7" type="noConversion"/>
  </si>
  <si>
    <t xml:space="preserve">98 SITTERLY RD *TFLT </t>
    <phoneticPr fontId="7" type="noConversion"/>
  </si>
  <si>
    <t>Usage (KWH/yr)</t>
    <phoneticPr fontId="7" type="noConversion"/>
  </si>
  <si>
    <t>Apr</t>
  </si>
  <si>
    <t>May</t>
  </si>
  <si>
    <t>Jun</t>
  </si>
  <si>
    <t>Jul</t>
  </si>
  <si>
    <t>Aug</t>
  </si>
  <si>
    <t>Oct</t>
  </si>
  <si>
    <t>Nov</t>
  </si>
  <si>
    <t>Dec</t>
  </si>
  <si>
    <t>Jan</t>
  </si>
  <si>
    <t>Feb</t>
  </si>
  <si>
    <t>Mar</t>
  </si>
  <si>
    <t xml:space="preserve">VISCHER FERRY RD *STD </t>
    <phoneticPr fontId="7" type="noConversion"/>
  </si>
  <si>
    <t>CLIFTON COMMONS BLVD</t>
    <phoneticPr fontId="7" type="noConversion"/>
  </si>
  <si>
    <t xml:space="preserve">65 REDFIELD PARK </t>
    <phoneticPr fontId="7" type="noConversion"/>
  </si>
  <si>
    <t>Park Entrance Lights</t>
  </si>
  <si>
    <t>Outdoor_Lighting</t>
  </si>
  <si>
    <t>Sewer_Districts</t>
  </si>
  <si>
    <t>Town_Bldgs</t>
  </si>
  <si>
    <t>light at golf course</t>
  </si>
  <si>
    <t xml:space="preserve"> NYS RT 146 </t>
  </si>
  <si>
    <t>B&amp;G Workshop</t>
  </si>
  <si>
    <t>Locust Lane Pool</t>
  </si>
  <si>
    <t>Dog Park</t>
  </si>
  <si>
    <t>Burning Bush Pool</t>
  </si>
  <si>
    <t>N/A</t>
  </si>
  <si>
    <t>Hwy Storage Bldg</t>
  </si>
  <si>
    <t>Hwy Main Bldg</t>
  </si>
  <si>
    <t>B&amp;G Auto/Maint Bldg</t>
  </si>
  <si>
    <t>C/C Garage</t>
  </si>
  <si>
    <t>Veterans Park</t>
  </si>
  <si>
    <t>Notes</t>
  </si>
  <si>
    <t>Admin Bldgs</t>
  </si>
  <si>
    <t>A 7030-5</t>
  </si>
  <si>
    <t>SL 5182-5-50</t>
  </si>
  <si>
    <t>G5 8111-5</t>
  </si>
  <si>
    <t>A 1624-5</t>
  </si>
  <si>
    <t>SP7 7127-5</t>
  </si>
  <si>
    <t>A 1627-5</t>
  </si>
  <si>
    <t>SP5 7151-5</t>
  </si>
  <si>
    <t>A 8510-5</t>
  </si>
  <si>
    <t>A 1621-5</t>
  </si>
  <si>
    <t>G7 8111-5</t>
  </si>
  <si>
    <t>A 1628-5</t>
  </si>
  <si>
    <t>SL 5182-5-60</t>
  </si>
  <si>
    <t>A 7112-5</t>
  </si>
  <si>
    <t>A7152-5/A1625-5</t>
  </si>
  <si>
    <t>A 8160-5</t>
  </si>
  <si>
    <t>A 7027-5</t>
  </si>
  <si>
    <t>A 1620-5</t>
  </si>
  <si>
    <t>A 5132-5</t>
  </si>
  <si>
    <t>A 7112-5-10</t>
  </si>
  <si>
    <t>SP2 7121-5</t>
  </si>
  <si>
    <t>SP8 7125-5</t>
  </si>
  <si>
    <t>A 7110-5</t>
  </si>
  <si>
    <t>SP5 7123-5</t>
  </si>
  <si>
    <t>SP0 7120-5</t>
  </si>
  <si>
    <t>G8 8111-5</t>
  </si>
  <si>
    <t>A 1626-5</t>
  </si>
  <si>
    <t>G9 8111-5</t>
  </si>
  <si>
    <t>A 7112-5-30</t>
  </si>
  <si>
    <t>A 7112-5-20</t>
  </si>
  <si>
    <t>G1 8111-5</t>
  </si>
  <si>
    <t>A 7024-5</t>
  </si>
  <si>
    <t>A 7152-5</t>
  </si>
  <si>
    <t>A 7190-5</t>
  </si>
  <si>
    <t>A 7150-5</t>
  </si>
  <si>
    <t>SP11 7140-5</t>
  </si>
  <si>
    <t>A 8150-5</t>
  </si>
  <si>
    <t>SP7 7139-5</t>
  </si>
  <si>
    <t>A 7113-5</t>
  </si>
  <si>
    <t>Sewer Districts</t>
  </si>
  <si>
    <t>Grooms Rd Emporium</t>
  </si>
  <si>
    <t>Community Beautification</t>
  </si>
  <si>
    <t>A 7152-5 / A 1625-5</t>
  </si>
  <si>
    <t>355 BLUE BARNS RD *LITE</t>
  </si>
  <si>
    <t>baseball</t>
  </si>
  <si>
    <t>school slow down beacon?</t>
  </si>
  <si>
    <t>Recreational Programs</t>
  </si>
  <si>
    <t>Senior/Youth Bldg Operations</t>
  </si>
  <si>
    <t>Grooms Road Emporium</t>
  </si>
  <si>
    <t>Public Safety Building-Operations</t>
  </si>
  <si>
    <t>Mohawk Valley Grange Building</t>
  </si>
  <si>
    <t>Clifton Common</t>
  </si>
  <si>
    <t>Locust Lane Pool/Clubhouse</t>
  </si>
  <si>
    <t>Convenience Transfer Station</t>
  </si>
  <si>
    <t>Town Hall Operations</t>
  </si>
  <si>
    <t>Highway Garage</t>
  </si>
  <si>
    <t>Clifton Common - Soccer</t>
  </si>
  <si>
    <t>Building &amp; Grounds Dept.</t>
  </si>
  <si>
    <t>Burning Bush Clubhouse</t>
  </si>
  <si>
    <t>Clifton Common -Baseball</t>
  </si>
  <si>
    <t>Clifton Commons-</t>
  </si>
  <si>
    <t>Veteran's Park-MacElroy Road</t>
  </si>
  <si>
    <t xml:space="preserve">Locust Lane Pool </t>
  </si>
  <si>
    <t>Golf Course</t>
  </si>
  <si>
    <t>Barney Road Pool</t>
  </si>
  <si>
    <t>Clifton Commons - Soccer</t>
  </si>
  <si>
    <t>Account Code Descriptions (from Shari)</t>
  </si>
  <si>
    <t>Lighting Fund</t>
  </si>
  <si>
    <t>Fund Group</t>
  </si>
  <si>
    <t>Fund Code</t>
  </si>
  <si>
    <t>Clifton Park sewer</t>
  </si>
  <si>
    <t>Clifton Country Rd Sewer</t>
  </si>
  <si>
    <t>Rivercrest Sewer, entrance light?</t>
  </si>
  <si>
    <t>Olde Nott Farm Sewer, Across from Edison</t>
  </si>
  <si>
    <t>Olde Nott Farm Sewer</t>
  </si>
  <si>
    <t>Dutch Meadows Sewer</t>
  </si>
  <si>
    <t xml:space="preserve">12 GREEN MEADOW DR </t>
  </si>
  <si>
    <t>Vischer Ferry Rd PUMP</t>
  </si>
  <si>
    <t>Mohawk Valley Grange Hall</t>
  </si>
  <si>
    <t>Fund Codes</t>
  </si>
  <si>
    <t>SP - Park Districts</t>
  </si>
  <si>
    <t>SL -Lighting Fund</t>
  </si>
  <si>
    <t>G - Sewer Districts</t>
  </si>
  <si>
    <t>Fund Groups</t>
  </si>
  <si>
    <t>GF Bldgs &amp; Grounds</t>
  </si>
  <si>
    <t>GF Community Beautification</t>
  </si>
  <si>
    <t>GF Clifton Commons</t>
  </si>
  <si>
    <t>GF Other</t>
  </si>
  <si>
    <t>GF Hwy Garages</t>
  </si>
  <si>
    <t>GF Parks/Rec</t>
  </si>
  <si>
    <t>GF Public Safety Bldg</t>
  </si>
  <si>
    <t>GF Senior/Youth Bldg</t>
  </si>
  <si>
    <t>GF Town Hall</t>
  </si>
  <si>
    <t>A - General Fund (GF)</t>
  </si>
  <si>
    <t>Burning Bush Clubhouse &amp; Pool</t>
  </si>
  <si>
    <t>Locust Ln Clubhouse &amp; Pool</t>
  </si>
  <si>
    <t>General Fund Code</t>
  </si>
  <si>
    <t>Nat'l Grid Accts (41)</t>
  </si>
  <si>
    <t>Clifton Commons - Baseball</t>
  </si>
  <si>
    <t>Clifton Commons - Stage</t>
  </si>
  <si>
    <t>Town Classification Of Operations</t>
  </si>
  <si>
    <t>Clifton Park sewer, light for pump station</t>
  </si>
  <si>
    <t>bldg demolished in 2014; had to pay bills after purchase prior to demolition</t>
  </si>
  <si>
    <t>Street/Area Lighting</t>
  </si>
  <si>
    <t>billed to park district</t>
  </si>
  <si>
    <t>CAPTAIN nonprofit (not billed back)</t>
  </si>
  <si>
    <t>Building &amp; Grounds</t>
  </si>
  <si>
    <t>Animal Control</t>
  </si>
  <si>
    <t>Safety Department</t>
  </si>
  <si>
    <t>Sewer Department</t>
  </si>
  <si>
    <t>Senior Express</t>
  </si>
  <si>
    <t>Town hall vehicles</t>
  </si>
  <si>
    <t>Building Department</t>
  </si>
  <si>
    <t>Security Department</t>
  </si>
  <si>
    <t>Town Bldgs</t>
  </si>
  <si>
    <t>Dept/Group</t>
  </si>
  <si>
    <t>Total CO2e Town-Owned</t>
  </si>
  <si>
    <t>1001-0580-883</t>
  </si>
  <si>
    <t>A 01621-5</t>
  </si>
  <si>
    <t>1001-0580-891</t>
  </si>
  <si>
    <t>1001-0580-909</t>
  </si>
  <si>
    <t>1001-0580-917</t>
  </si>
  <si>
    <t>1001-0580-925</t>
  </si>
  <si>
    <t>A 01621-5-800</t>
  </si>
  <si>
    <t>Nat'l Grid</t>
  </si>
  <si>
    <t>NYSEG</t>
  </si>
  <si>
    <t>Utility Co.</t>
  </si>
  <si>
    <t>Utility Data</t>
  </si>
  <si>
    <t>Cost ($/yr)</t>
  </si>
  <si>
    <t>Consolidated lighting bill (probably not traffic lights)</t>
  </si>
  <si>
    <t>Town Depts Chrg'd for Gas/Diesel</t>
  </si>
  <si>
    <t>TOWN OF CLIFTON PARK, NY</t>
  </si>
  <si>
    <t>Outdoor Lighting</t>
  </si>
  <si>
    <t>Sewer</t>
  </si>
  <si>
    <t>General Fund Groups (created by CAA)</t>
  </si>
  <si>
    <t>Electricity (KWH/yr)</t>
  </si>
  <si>
    <t>Electricty Cost ($/yr)</t>
  </si>
  <si>
    <t>Usage (therms/yr)</t>
  </si>
  <si>
    <t>N/A (not assoc. w/ a facility)</t>
  </si>
  <si>
    <t>CO2e (metric tons/yr)</t>
  </si>
  <si>
    <t>MMBTU/yr</t>
  </si>
  <si>
    <t>Total Energy Cost ($/yr)</t>
  </si>
  <si>
    <t>Nat. Gas (therms/yr)</t>
  </si>
  <si>
    <t>Nat. Gas Cost ($/yr)</t>
  </si>
  <si>
    <t>Electricity</t>
  </si>
  <si>
    <t>SUM</t>
  </si>
  <si>
    <t>Natural Gas</t>
  </si>
  <si>
    <t>Propane</t>
  </si>
  <si>
    <t>Gasoline</t>
  </si>
  <si>
    <t>Diesel</t>
  </si>
  <si>
    <t>http://www.centerpointenergy.com/services/energymarketing/learningcenter/energyconversionfactors/</t>
  </si>
  <si>
    <t>http://www.eia.gov/kids/energy.cfm?page=about_energy_conversion_calculator-basics</t>
  </si>
  <si>
    <t>1 KWH = 0.003412(from EIA)</t>
  </si>
  <si>
    <t>Energy Cost ($/yr)</t>
  </si>
  <si>
    <t>1 therm = 0.1 MMBTU (Ctr Pt Energy website)</t>
  </si>
  <si>
    <t>0 ROUTE 146</t>
  </si>
  <si>
    <t>DENKERS DR BALLSTON LAKE NY 12019</t>
  </si>
  <si>
    <t xml:space="preserve">Dutch Meadows Sewer (elec only) </t>
  </si>
  <si>
    <t>GENERAL, GENERAL (several locations)</t>
  </si>
  <si>
    <t>data from May 2013 to Apr 2014</t>
  </si>
  <si>
    <t>1001-8644-491</t>
  </si>
  <si>
    <t>1001-8642-065</t>
  </si>
  <si>
    <t>1001-5433-898 </t>
  </si>
  <si>
    <t>1001-3564-934</t>
  </si>
  <si>
    <t>1001-0549-953 </t>
  </si>
  <si>
    <t>1001-0032-836 </t>
  </si>
  <si>
    <t>1002-3913-964 </t>
  </si>
  <si>
    <t>22 CLIFTON COUNTRY RD</t>
  </si>
  <si>
    <t>NEAR 82 SITTERLY RD</t>
  </si>
  <si>
    <t>NEAR 45 ROUTE 146</t>
  </si>
  <si>
    <t>0 CLIFTON COUNTRY RD</t>
  </si>
  <si>
    <t>0 MAXWELL DR &amp; PARK AVE</t>
  </si>
  <si>
    <t>19 CLIFTON COUNTRY RD</t>
  </si>
  <si>
    <t>Total Nat Gas CO2e</t>
  </si>
  <si>
    <t>Total Elec Co2e</t>
  </si>
  <si>
    <t>CO2 from gasoline (metric tons)</t>
  </si>
  <si>
    <t>CO2 from diesel (metric tons)</t>
  </si>
  <si>
    <t>*Grange Hall has no KWH, only $ chrg'd, so no CO2e or MMBTU</t>
  </si>
  <si>
    <t>Totals</t>
  </si>
  <si>
    <t>CO2e from N2O and SO4 from diesel</t>
  </si>
  <si>
    <t>CO2e from N2O and SO4 from gasoline</t>
  </si>
  <si>
    <t>Total CO2e from gasoline (metric tons)</t>
  </si>
  <si>
    <t>Total CO2e from diesel (metric tons)</t>
  </si>
  <si>
    <t>1 gal gasoline = 0.124262 MMBTU (from EIA)</t>
  </si>
  <si>
    <t>1 gal diesel = 0.13960 MMBTU (from EIA)</t>
  </si>
  <si>
    <t>1 gal propane = 0.0916 MMBTU (Ctr Pt Energy website)</t>
  </si>
  <si>
    <t>Hwy Garages</t>
  </si>
  <si>
    <t>B&amp;G Garages</t>
  </si>
  <si>
    <t>Electricity Cost ($/yr)</t>
  </si>
  <si>
    <t>GHG Emissions (MTC02e/yr)</t>
  </si>
  <si>
    <t>cost estimated (cost data unavail.)</t>
  </si>
  <si>
    <t>Sums w/o 7 non-PSB NYSEG accts (in yellow)</t>
  </si>
  <si>
    <t>Sector</t>
  </si>
  <si>
    <t>Sector Subgroup</t>
  </si>
  <si>
    <t>Park entrance lights for Burning Bush Pool</t>
  </si>
  <si>
    <t>Town Hall area/bldg lighting, Not bldg use</t>
  </si>
  <si>
    <t>Heating Oil Total (gal.)</t>
  </si>
  <si>
    <t>Propane Use (gal./yr)</t>
  </si>
  <si>
    <t>Heating Oil Cost ($/yr)</t>
  </si>
  <si>
    <t>Propane Cost ($/yr)</t>
  </si>
  <si>
    <t>Sector Subgroups</t>
  </si>
  <si>
    <t>Conversion Factors for MMBtus</t>
  </si>
  <si>
    <t>Sources:</t>
  </si>
  <si>
    <t>Avg cost/KWH (used to estimate costs for 7 non-PSB NYSEG elec accts)</t>
  </si>
  <si>
    <t>Cost/KWH</t>
  </si>
  <si>
    <t>Cost/therm</t>
  </si>
  <si>
    <t>only elec chrgs - no KWH?!</t>
  </si>
  <si>
    <t>Vehicle_Fleet</t>
  </si>
  <si>
    <t>Total Town-Owned*</t>
  </si>
  <si>
    <t>* Includes fuel used in maintenance equipment, as well as in vehicles.</t>
  </si>
  <si>
    <t>Mohawk Valley Grange Hall*</t>
  </si>
  <si>
    <t xml:space="preserve">   GHGs assoc. w/ facility:  </t>
  </si>
  <si>
    <t xml:space="preserve">  Portion of total GHGs NOT assoc. w/ facility: </t>
  </si>
  <si>
    <t>Town Bldg Subgroups</t>
  </si>
  <si>
    <t>Individual Town Facilities</t>
  </si>
  <si>
    <t>Outdoor Lighting Subgroups</t>
  </si>
  <si>
    <t>Fuel Types</t>
  </si>
  <si>
    <t>Usage/yr (KWH, gal, therms)</t>
  </si>
  <si>
    <t>Town Sectors</t>
  </si>
  <si>
    <t>Vehicle Fleet</t>
  </si>
  <si>
    <r>
      <t xml:space="preserve">Facility </t>
    </r>
    <r>
      <rPr>
        <sz val="11"/>
        <color indexed="8"/>
        <rFont val="Calibri"/>
        <scheme val="minor"/>
      </rPr>
      <t>(excludes outdoor lighting)</t>
    </r>
  </si>
  <si>
    <t>Spirit Park lights (called Rec. programs in Acctng Fund code descrip)</t>
  </si>
  <si>
    <t>(Colored highlighting in tables indicates which column the table is sorted by, so the associated chart displays in descending order.)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</si>
</sst>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0.000"/>
    <numFmt numFmtId="165" formatCode="&quot;$&quot;#,##0.00"/>
    <numFmt numFmtId="166" formatCode="_([$$-409]* #,##0.00_);_([$$-409]* \(#,##0.00\);_([$$-409]* &quot;-&quot;??_);_(@_)"/>
    <numFmt numFmtId="167" formatCode="_(* #,##0_);_(* \(#,##0\);_(* &quot;-&quot;??_);_(@_)"/>
    <numFmt numFmtId="168" formatCode="0_);\(0\)"/>
  </numFmts>
  <fonts count="31" x14ac:knownFonts="1">
    <font>
      <sz val="11"/>
      <color theme="1"/>
      <name val="Calibri"/>
      <family val="2"/>
      <scheme val="minor"/>
    </font>
    <font>
      <i/>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indexed="8"/>
      <name val="Arial"/>
      <family val="2"/>
    </font>
    <font>
      <sz val="8"/>
      <name val="Verdana"/>
    </font>
    <font>
      <sz val="11"/>
      <color indexed="8"/>
      <name val="Calibri"/>
      <family val="2"/>
    </font>
    <font>
      <b/>
      <sz val="11"/>
      <color indexed="8"/>
      <name val="Calibri"/>
      <family val="2"/>
    </font>
    <font>
      <sz val="11"/>
      <name val="Calibri"/>
      <family val="2"/>
    </font>
    <font>
      <b/>
      <u/>
      <sz val="11"/>
      <name val="Calibri"/>
      <family val="2"/>
    </font>
    <font>
      <b/>
      <sz val="11"/>
      <name val="Calibri"/>
      <family val="2"/>
    </font>
    <font>
      <sz val="10"/>
      <name val="Arial"/>
    </font>
    <font>
      <sz val="11"/>
      <color indexed="8"/>
      <name val="Arial"/>
      <family val="2"/>
    </font>
    <font>
      <sz val="11"/>
      <color indexed="8"/>
      <name val="Verdana"/>
    </font>
    <font>
      <sz val="11"/>
      <color indexed="8"/>
      <name val="MS Reference Sans Serif"/>
      <family val="2"/>
    </font>
    <font>
      <u/>
      <sz val="11"/>
      <color indexed="8"/>
      <name val="Calibri"/>
    </font>
    <font>
      <sz val="11"/>
      <color indexed="62"/>
      <name val="Calibri"/>
      <family val="2"/>
    </font>
    <font>
      <u/>
      <sz val="11"/>
      <color theme="10"/>
      <name val="Calibri"/>
      <family val="2"/>
      <scheme val="minor"/>
    </font>
    <font>
      <u/>
      <sz val="11"/>
      <color theme="11"/>
      <name val="Calibri"/>
      <family val="2"/>
      <scheme val="minor"/>
    </font>
    <font>
      <sz val="11"/>
      <color indexed="8"/>
      <name val="Calibri"/>
      <scheme val="minor"/>
    </font>
    <font>
      <b/>
      <sz val="11"/>
      <color indexed="8"/>
      <name val="Calibri"/>
      <scheme val="minor"/>
    </font>
    <font>
      <sz val="11"/>
      <color indexed="62"/>
      <name val="Calibri"/>
      <scheme val="minor"/>
    </font>
    <font>
      <sz val="11"/>
      <color rgb="FF000000"/>
      <name val="Calibri"/>
      <family val="2"/>
      <scheme val="minor"/>
    </font>
    <font>
      <sz val="16"/>
      <color theme="1"/>
      <name val="Calibri"/>
      <scheme val="minor"/>
    </font>
    <font>
      <sz val="9"/>
      <color theme="1"/>
      <name val="Calibri"/>
      <scheme val="minor"/>
    </font>
    <font>
      <b/>
      <sz val="9"/>
      <color theme="1"/>
      <name val="Calibri"/>
      <scheme val="minor"/>
    </font>
    <font>
      <b/>
      <i/>
      <sz val="11"/>
      <color theme="1"/>
      <name val="Calibri"/>
      <scheme val="minor"/>
    </font>
    <font>
      <i/>
      <sz val="11"/>
      <name val="Calibri"/>
      <scheme val="minor"/>
    </font>
    <font>
      <b/>
      <i/>
      <sz val="11"/>
      <name val="Calibri"/>
      <family val="2"/>
      <scheme val="minor"/>
    </font>
  </fonts>
  <fills count="23">
    <fill>
      <patternFill patternType="none"/>
    </fill>
    <fill>
      <patternFill patternType="gray125"/>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indexed="22"/>
        <bgColor indexed="0"/>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indexed="43"/>
        <bgColor indexed="64"/>
      </patternFill>
    </fill>
    <fill>
      <patternFill patternType="solid">
        <fgColor indexed="22"/>
        <bgColor indexed="64"/>
      </patternFill>
    </fill>
    <fill>
      <patternFill patternType="solid">
        <fgColor indexed="22"/>
        <bgColor indexed="8"/>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2" tint="-9.9978637043366805E-2"/>
        <bgColor indexed="64"/>
      </patternFill>
    </fill>
  </fills>
  <borders count="5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style="thin">
        <color indexed="8"/>
      </left>
      <right style="thin">
        <color indexed="8"/>
      </right>
      <top style="thin">
        <color indexed="8"/>
      </top>
      <bottom style="thin">
        <color indexed="8"/>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22"/>
      </left>
      <right style="thin">
        <color indexed="22"/>
      </right>
      <top style="thin">
        <color indexed="8"/>
      </top>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style="medium">
        <color auto="1"/>
      </left>
      <right style="medium">
        <color auto="1"/>
      </right>
      <top/>
      <bottom/>
      <diagonal/>
    </border>
    <border>
      <left style="medium">
        <color auto="1"/>
      </left>
      <right style="medium">
        <color auto="1"/>
      </right>
      <top style="medium">
        <color auto="1"/>
      </top>
      <bottom style="thin">
        <color auto="1"/>
      </bottom>
      <diagonal/>
    </border>
    <border>
      <left/>
      <right/>
      <top style="thin">
        <color auto="1"/>
      </top>
      <bottom/>
      <diagonal/>
    </border>
    <border>
      <left style="medium">
        <color auto="1"/>
      </left>
      <right style="medium">
        <color auto="1"/>
      </right>
      <top/>
      <bottom style="medium">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indexed="22"/>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indexed="22"/>
      </bottom>
      <diagonal/>
    </border>
    <border>
      <left style="medium">
        <color auto="1"/>
      </left>
      <right style="thin">
        <color auto="1"/>
      </right>
      <top style="thin">
        <color indexed="22"/>
      </top>
      <bottom style="thin">
        <color indexed="22"/>
      </bottom>
      <diagonal/>
    </border>
    <border>
      <left style="medium">
        <color auto="1"/>
      </left>
      <right style="thin">
        <color auto="1"/>
      </right>
      <top style="thin">
        <color indexed="22"/>
      </top>
      <bottom style="medium">
        <color auto="1"/>
      </bottom>
      <diagonal/>
    </border>
    <border>
      <left style="thin">
        <color auto="1"/>
      </left>
      <right style="thin">
        <color auto="1"/>
      </right>
      <top/>
      <bottom style="thin">
        <color indexed="22"/>
      </bottom>
      <diagonal/>
    </border>
    <border>
      <left style="medium">
        <color auto="1"/>
      </left>
      <right style="thin">
        <color auto="1"/>
      </right>
      <top style="thin">
        <color auto="1"/>
      </top>
      <bottom style="thin">
        <color indexed="22"/>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indexed="22"/>
      </top>
      <bottom style="thin">
        <color auto="1"/>
      </bottom>
      <diagonal/>
    </border>
    <border>
      <left style="thin">
        <color auto="1"/>
      </left>
      <right style="thin">
        <color auto="1"/>
      </right>
      <top style="thin">
        <color indexed="22"/>
      </top>
      <bottom style="thin">
        <color auto="1"/>
      </bottom>
      <diagonal/>
    </border>
    <border>
      <left style="thin">
        <color auto="1"/>
      </left>
      <right style="medium">
        <color auto="1"/>
      </right>
      <top/>
      <bottom style="thin">
        <color auto="1"/>
      </bottom>
      <diagonal/>
    </border>
    <border>
      <left/>
      <right style="medium">
        <color auto="1"/>
      </right>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theme="7"/>
      </top>
      <bottom style="thin">
        <color theme="7"/>
      </bottom>
      <diagonal/>
    </border>
    <border>
      <left style="thin">
        <color auto="1"/>
      </left>
      <right/>
      <top style="thin">
        <color auto="1"/>
      </top>
      <bottom/>
      <diagonal/>
    </border>
    <border>
      <left/>
      <right style="thin">
        <color auto="1"/>
      </right>
      <top style="thin">
        <color auto="1"/>
      </top>
      <bottom/>
      <diagonal/>
    </border>
  </borders>
  <cellStyleXfs count="579">
    <xf numFmtId="0" fontId="0" fillId="0" borderId="0"/>
    <xf numFmtId="43" fontId="2" fillId="0" borderId="0" applyFont="0" applyFill="0" applyBorder="0" applyAlignment="0" applyProtection="0"/>
    <xf numFmtId="0" fontId="6" fillId="0" borderId="0"/>
    <xf numFmtId="0" fontId="13" fillId="0" borderId="0"/>
    <xf numFmtId="0" fontId="6" fillId="0" borderId="0"/>
    <xf numFmtId="0" fontId="18" fillId="13"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44" fontId="2"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730">
    <xf numFmtId="0" fontId="0" fillId="0" borderId="0" xfId="0"/>
    <xf numFmtId="0" fontId="1" fillId="0" borderId="0" xfId="0" applyFont="1"/>
    <xf numFmtId="0" fontId="4" fillId="2" borderId="2" xfId="0" applyFont="1" applyFill="1" applyBorder="1"/>
    <xf numFmtId="0" fontId="4" fillId="0" borderId="0" xfId="0" applyFont="1" applyFill="1" applyBorder="1"/>
    <xf numFmtId="0" fontId="4" fillId="2" borderId="0" xfId="0" applyFont="1" applyFill="1"/>
    <xf numFmtId="0" fontId="4" fillId="0" borderId="0" xfId="0" applyFont="1" applyFill="1"/>
    <xf numFmtId="0" fontId="3" fillId="0" borderId="0" xfId="0" applyFont="1" applyFill="1" applyBorder="1" applyAlignment="1">
      <alignment wrapText="1"/>
    </xf>
    <xf numFmtId="0" fontId="3" fillId="0" borderId="0" xfId="0" applyFont="1"/>
    <xf numFmtId="4" fontId="0" fillId="0" borderId="0" xfId="0" applyNumberFormat="1"/>
    <xf numFmtId="165" fontId="0" fillId="0" borderId="0" xfId="0" applyNumberFormat="1"/>
    <xf numFmtId="4" fontId="1" fillId="0" borderId="0" xfId="0" applyNumberFormat="1" applyFont="1"/>
    <xf numFmtId="165" fontId="1" fillId="0" borderId="0" xfId="0" applyNumberFormat="1" applyFont="1"/>
    <xf numFmtId="0" fontId="3" fillId="3" borderId="0" xfId="0" applyFont="1" applyFill="1"/>
    <xf numFmtId="4" fontId="3" fillId="3" borderId="0" xfId="0" applyNumberFormat="1" applyFont="1" applyFill="1"/>
    <xf numFmtId="165" fontId="3" fillId="3" borderId="0" xfId="0" applyNumberFormat="1" applyFont="1" applyFill="1"/>
    <xf numFmtId="0" fontId="0" fillId="5" borderId="1" xfId="0" applyFont="1" applyFill="1" applyBorder="1"/>
    <xf numFmtId="4" fontId="0" fillId="5" borderId="1" xfId="0" applyNumberFormat="1" applyFont="1" applyFill="1" applyBorder="1"/>
    <xf numFmtId="165" fontId="0" fillId="5" borderId="1" xfId="0" applyNumberFormat="1" applyFont="1" applyFill="1" applyBorder="1"/>
    <xf numFmtId="0" fontId="0" fillId="0" borderId="1" xfId="0" applyBorder="1"/>
    <xf numFmtId="0" fontId="0" fillId="6" borderId="1" xfId="0" applyFill="1" applyBorder="1"/>
    <xf numFmtId="4" fontId="3" fillId="5" borderId="1" xfId="0" applyNumberFormat="1" applyFont="1" applyFill="1" applyBorder="1"/>
    <xf numFmtId="0" fontId="3" fillId="0" borderId="0" xfId="0" applyFont="1" applyFill="1" applyBorder="1"/>
    <xf numFmtId="0" fontId="0" fillId="9" borderId="1" xfId="0" applyFill="1" applyBorder="1"/>
    <xf numFmtId="0" fontId="0" fillId="0" borderId="0" xfId="0" applyBorder="1" applyAlignment="1">
      <alignment horizontal="center"/>
    </xf>
    <xf numFmtId="0" fontId="0" fillId="11" borderId="1" xfId="0" applyFill="1" applyBorder="1"/>
    <xf numFmtId="0" fontId="0" fillId="12" borderId="1" xfId="0" applyFill="1" applyBorder="1"/>
    <xf numFmtId="0" fontId="0" fillId="3" borderId="1" xfId="0" applyFill="1" applyBorder="1"/>
    <xf numFmtId="0" fontId="0" fillId="13" borderId="1" xfId="0" applyFill="1" applyBorder="1"/>
    <xf numFmtId="0" fontId="0" fillId="7" borderId="1" xfId="0" applyFill="1" applyBorder="1"/>
    <xf numFmtId="0" fontId="0" fillId="14" borderId="1" xfId="0" applyFill="1" applyBorder="1"/>
    <xf numFmtId="0" fontId="0" fillId="15" borderId="1" xfId="0" applyFill="1" applyBorder="1"/>
    <xf numFmtId="0" fontId="8" fillId="0" borderId="0" xfId="0" applyFont="1"/>
    <xf numFmtId="0" fontId="9" fillId="0" borderId="0" xfId="0" applyFont="1" applyAlignment="1"/>
    <xf numFmtId="0" fontId="9" fillId="0" borderId="0" xfId="0" applyFont="1"/>
    <xf numFmtId="0" fontId="11" fillId="0" borderId="0" xfId="0" applyFont="1"/>
    <xf numFmtId="0" fontId="10" fillId="0" borderId="0" xfId="0" applyFont="1"/>
    <xf numFmtId="0" fontId="9" fillId="10" borderId="0" xfId="0" applyFont="1" applyFill="1" applyBorder="1" applyAlignment="1">
      <alignment horizontal="center" wrapText="1"/>
    </xf>
    <xf numFmtId="0" fontId="12" fillId="17" borderId="0" xfId="0" applyFont="1" applyFill="1" applyAlignment="1">
      <alignment horizontal="center"/>
    </xf>
    <xf numFmtId="0" fontId="10" fillId="17" borderId="0" xfId="0" applyFont="1" applyFill="1" applyAlignment="1">
      <alignment horizontal="center"/>
    </xf>
    <xf numFmtId="0" fontId="8" fillId="0" borderId="0" xfId="0" applyNumberFormat="1" applyFont="1" applyFill="1" applyBorder="1" applyAlignment="1">
      <alignment horizontal="center"/>
    </xf>
    <xf numFmtId="49" fontId="8" fillId="0" borderId="0" xfId="0" applyNumberFormat="1" applyFont="1" applyFill="1" applyBorder="1" applyAlignment="1">
      <alignment horizontal="center"/>
    </xf>
    <xf numFmtId="0" fontId="11" fillId="0" borderId="0" xfId="0" applyFont="1" applyFill="1" applyAlignment="1">
      <alignment horizontal="left"/>
    </xf>
    <xf numFmtId="0" fontId="10" fillId="0" borderId="0" xfId="0" applyFont="1" applyFill="1" applyAlignment="1">
      <alignment horizontal="left"/>
    </xf>
    <xf numFmtId="0" fontId="10" fillId="0" borderId="0" xfId="0" applyFont="1" applyFill="1"/>
    <xf numFmtId="1" fontId="8" fillId="0" borderId="0" xfId="0" applyNumberFormat="1" applyFont="1" applyFill="1" applyAlignment="1">
      <alignment horizontal="center"/>
    </xf>
    <xf numFmtId="2" fontId="10" fillId="0" borderId="0" xfId="0" applyNumberFormat="1" applyFont="1" applyFill="1"/>
    <xf numFmtId="49" fontId="8" fillId="0" borderId="0" xfId="0" applyNumberFormat="1" applyFont="1" applyFill="1" applyAlignment="1">
      <alignment horizontal="center"/>
    </xf>
    <xf numFmtId="0" fontId="10" fillId="0" borderId="0" xfId="0" applyFont="1" applyFill="1" applyAlignment="1">
      <alignment horizontal="right"/>
    </xf>
    <xf numFmtId="0" fontId="11" fillId="0" borderId="0" xfId="0" applyFont="1" applyFill="1"/>
    <xf numFmtId="2" fontId="10" fillId="0" borderId="8" xfId="0" applyNumberFormat="1" applyFont="1" applyFill="1" applyBorder="1"/>
    <xf numFmtId="0" fontId="8" fillId="0" borderId="0" xfId="0" applyFont="1" applyAlignment="1">
      <alignment horizontal="left"/>
    </xf>
    <xf numFmtId="0" fontId="9" fillId="0" borderId="0" xfId="0" applyFont="1" applyAlignment="1">
      <alignment horizontal="center"/>
    </xf>
    <xf numFmtId="14" fontId="12" fillId="0" borderId="0" xfId="3" applyNumberFormat="1" applyFont="1" applyBorder="1" applyAlignment="1">
      <alignment horizontal="center"/>
    </xf>
    <xf numFmtId="0" fontId="12" fillId="0" borderId="0" xfId="3" applyFont="1" applyBorder="1" applyAlignment="1">
      <alignment horizontal="center"/>
    </xf>
    <xf numFmtId="49" fontId="12" fillId="0" borderId="0" xfId="3" applyNumberFormat="1" applyFont="1" applyBorder="1" applyAlignment="1">
      <alignment horizontal="center"/>
    </xf>
    <xf numFmtId="0" fontId="12" fillId="0" borderId="0" xfId="3" applyFont="1" applyBorder="1" applyAlignment="1">
      <alignment horizontal="center" vertical="center"/>
    </xf>
    <xf numFmtId="49" fontId="12" fillId="0" borderId="0" xfId="3" applyNumberFormat="1" applyFont="1" applyBorder="1" applyAlignment="1">
      <alignment horizontal="center" vertical="center"/>
    </xf>
    <xf numFmtId="2" fontId="12" fillId="0" borderId="0" xfId="3" applyNumberFormat="1" applyFont="1" applyBorder="1" applyAlignment="1">
      <alignment horizontal="center"/>
    </xf>
    <xf numFmtId="49" fontId="9" fillId="10" borderId="9" xfId="0" applyNumberFormat="1" applyFont="1" applyFill="1" applyBorder="1" applyAlignment="1">
      <alignment horizontal="center" wrapText="1"/>
    </xf>
    <xf numFmtId="49" fontId="9" fillId="10" borderId="9" xfId="2" applyNumberFormat="1" applyFont="1" applyFill="1" applyBorder="1" applyAlignment="1">
      <alignment horizontal="center" vertical="center" wrapText="1"/>
    </xf>
    <xf numFmtId="0" fontId="9" fillId="10" borderId="9" xfId="2" applyFont="1" applyFill="1" applyBorder="1" applyAlignment="1">
      <alignment horizontal="right" wrapText="1"/>
    </xf>
    <xf numFmtId="0" fontId="9" fillId="10" borderId="0" xfId="4" applyFont="1" applyFill="1" applyBorder="1" applyAlignment="1">
      <alignment horizontal="center"/>
    </xf>
    <xf numFmtId="0" fontId="9" fillId="10" borderId="0" xfId="4" applyFont="1" applyFill="1" applyBorder="1" applyAlignment="1">
      <alignment horizontal="center" wrapText="1"/>
    </xf>
    <xf numFmtId="49" fontId="9" fillId="10" borderId="0" xfId="4" applyNumberFormat="1" applyFont="1" applyFill="1" applyBorder="1" applyAlignment="1">
      <alignment horizontal="center" wrapText="1"/>
    </xf>
    <xf numFmtId="0" fontId="9" fillId="10" borderId="0" xfId="4" applyFont="1" applyFill="1" applyBorder="1" applyAlignment="1">
      <alignment horizontal="center" vertical="center" wrapText="1"/>
    </xf>
    <xf numFmtId="49" fontId="9" fillId="10" borderId="0" xfId="4" applyNumberFormat="1" applyFont="1" applyFill="1" applyBorder="1" applyAlignment="1">
      <alignment horizontal="center" vertical="center" wrapText="1"/>
    </xf>
    <xf numFmtId="2" fontId="9" fillId="10" borderId="0" xfId="4" applyNumberFormat="1" applyFont="1" applyFill="1" applyBorder="1" applyAlignment="1">
      <alignment horizontal="center" wrapText="1"/>
    </xf>
    <xf numFmtId="0" fontId="8" fillId="0" borderId="4" xfId="0" applyNumberFormat="1" applyFont="1" applyFill="1" applyBorder="1" applyAlignment="1">
      <alignment horizontal="center"/>
    </xf>
    <xf numFmtId="0" fontId="8" fillId="0" borderId="4" xfId="2" applyNumberFormat="1" applyFont="1" applyFill="1" applyBorder="1" applyAlignment="1">
      <alignment horizontal="center"/>
    </xf>
    <xf numFmtId="0" fontId="8" fillId="0" borderId="0" xfId="4" applyNumberFormat="1" applyFont="1" applyFill="1" applyBorder="1" applyAlignment="1">
      <alignment horizontal="center" wrapText="1"/>
    </xf>
    <xf numFmtId="0" fontId="8" fillId="0" borderId="0" xfId="4" applyNumberFormat="1" applyFont="1" applyFill="1" applyBorder="1" applyAlignment="1">
      <alignment horizontal="center" vertical="center" wrapText="1"/>
    </xf>
    <xf numFmtId="49" fontId="8" fillId="0" borderId="4" xfId="0" applyNumberFormat="1" applyFont="1" applyFill="1" applyBorder="1" applyAlignment="1">
      <alignment horizontal="center"/>
    </xf>
    <xf numFmtId="49" fontId="8" fillId="0" borderId="4" xfId="2" applyNumberFormat="1" applyFont="1" applyFill="1" applyBorder="1" applyAlignment="1">
      <alignment horizontal="center"/>
    </xf>
    <xf numFmtId="49" fontId="8" fillId="0" borderId="0" xfId="4" applyNumberFormat="1" applyFont="1" applyFill="1" applyBorder="1" applyAlignment="1">
      <alignment horizontal="center" wrapText="1"/>
    </xf>
    <xf numFmtId="49" fontId="8" fillId="0" borderId="0" xfId="4" applyNumberFormat="1" applyFont="1" applyFill="1" applyBorder="1" applyAlignment="1">
      <alignment horizontal="center" vertical="center" wrapText="1"/>
    </xf>
    <xf numFmtId="0" fontId="8" fillId="0" borderId="0" xfId="4" applyFont="1" applyFill="1" applyBorder="1" applyAlignment="1">
      <alignment horizontal="center" vertical="center" wrapText="1"/>
    </xf>
    <xf numFmtId="49" fontId="8" fillId="0" borderId="4" xfId="2" applyNumberFormat="1" applyFont="1" applyFill="1" applyBorder="1" applyAlignment="1">
      <alignment horizontal="center" wrapText="1"/>
    </xf>
    <xf numFmtId="49" fontId="9" fillId="0" borderId="0" xfId="0" applyNumberFormat="1" applyFont="1" applyBorder="1" applyAlignment="1">
      <alignment horizontal="center"/>
    </xf>
    <xf numFmtId="0" fontId="8" fillId="0" borderId="0" xfId="4" applyFont="1" applyBorder="1"/>
    <xf numFmtId="0" fontId="8" fillId="0" borderId="0" xfId="4" applyFont="1" applyBorder="1" applyAlignment="1">
      <alignment horizontal="center"/>
    </xf>
    <xf numFmtId="49" fontId="8" fillId="0" borderId="0" xfId="4" applyNumberFormat="1" applyFont="1" applyBorder="1"/>
    <xf numFmtId="0" fontId="8" fillId="0" borderId="0" xfId="4" applyFont="1" applyBorder="1" applyAlignment="1">
      <alignment vertical="center"/>
    </xf>
    <xf numFmtId="49" fontId="8" fillId="0" borderId="0" xfId="4" applyNumberFormat="1" applyFont="1" applyBorder="1" applyAlignment="1">
      <alignment horizontal="center"/>
    </xf>
    <xf numFmtId="0" fontId="8" fillId="0" borderId="0" xfId="4" applyNumberFormat="1" applyFont="1" applyBorder="1" applyAlignment="1">
      <alignment horizontal="center" vertical="center"/>
    </xf>
    <xf numFmtId="0" fontId="8" fillId="0" borderId="0" xfId="4" applyNumberFormat="1" applyFont="1" applyBorder="1" applyAlignment="1">
      <alignment vertical="center"/>
    </xf>
    <xf numFmtId="0" fontId="8" fillId="0" borderId="0" xfId="0" applyFont="1" applyBorder="1" applyAlignment="1">
      <alignment horizontal="center"/>
    </xf>
    <xf numFmtId="0" fontId="8" fillId="0" borderId="0" xfId="4" applyNumberFormat="1" applyFont="1" applyBorder="1"/>
    <xf numFmtId="2" fontId="8" fillId="0" borderId="0" xfId="4" applyNumberFormat="1" applyFont="1" applyBorder="1"/>
    <xf numFmtId="165" fontId="8" fillId="0" borderId="0" xfId="0" applyNumberFormat="1" applyFont="1"/>
    <xf numFmtId="0" fontId="10" fillId="0" borderId="13" xfId="3" applyFont="1" applyBorder="1"/>
    <xf numFmtId="49" fontId="10" fillId="0" borderId="14" xfId="3" applyNumberFormat="1" applyFont="1" applyBorder="1" applyAlignment="1">
      <alignment horizontal="center"/>
    </xf>
    <xf numFmtId="0" fontId="10" fillId="0" borderId="14" xfId="3" applyFont="1" applyBorder="1"/>
    <xf numFmtId="0" fontId="10" fillId="0" borderId="15" xfId="3" applyFont="1" applyBorder="1"/>
    <xf numFmtId="0" fontId="10" fillId="0" borderId="16" xfId="3" applyFont="1" applyBorder="1" applyAlignment="1">
      <alignment vertical="center"/>
    </xf>
    <xf numFmtId="49" fontId="10" fillId="0" borderId="17" xfId="3" applyNumberFormat="1" applyFont="1" applyBorder="1" applyAlignment="1">
      <alignment horizontal="center" vertical="center"/>
    </xf>
    <xf numFmtId="0" fontId="10" fillId="0" borderId="17" xfId="3" applyFont="1" applyBorder="1" applyAlignment="1">
      <alignment vertical="center"/>
    </xf>
    <xf numFmtId="0" fontId="10" fillId="0" borderId="18" xfId="3" applyFont="1" applyBorder="1" applyAlignment="1">
      <alignment vertical="center"/>
    </xf>
    <xf numFmtId="0" fontId="8" fillId="0" borderId="0" xfId="0" applyFont="1" applyAlignment="1">
      <alignment vertical="center"/>
    </xf>
    <xf numFmtId="165" fontId="8" fillId="0" borderId="0" xfId="0" applyNumberFormat="1" applyFont="1" applyAlignment="1">
      <alignment vertical="center"/>
    </xf>
    <xf numFmtId="0" fontId="10" fillId="0" borderId="0" xfId="0" applyFont="1" applyAlignment="1">
      <alignment vertical="center"/>
    </xf>
    <xf numFmtId="0" fontId="10" fillId="0" borderId="10" xfId="3" applyFont="1" applyBorder="1" applyAlignment="1">
      <alignment horizontal="right" vertical="center"/>
    </xf>
    <xf numFmtId="49" fontId="10" fillId="0" borderId="12" xfId="3" applyNumberFormat="1" applyFont="1" applyBorder="1" applyAlignment="1">
      <alignment horizontal="center" vertical="center"/>
    </xf>
    <xf numFmtId="14" fontId="10" fillId="0" borderId="12" xfId="3" applyNumberFormat="1" applyFont="1" applyBorder="1" applyAlignment="1">
      <alignment vertical="center"/>
    </xf>
    <xf numFmtId="0" fontId="10" fillId="0" borderId="13" xfId="3" applyFont="1" applyBorder="1" applyAlignment="1">
      <alignment horizontal="right" vertical="center"/>
    </xf>
    <xf numFmtId="49" fontId="10" fillId="0" borderId="14" xfId="3" applyNumberFormat="1" applyFont="1" applyBorder="1" applyAlignment="1">
      <alignment horizontal="center" vertical="center"/>
    </xf>
    <xf numFmtId="0" fontId="10" fillId="0" borderId="14" xfId="3" applyFont="1" applyBorder="1" applyAlignment="1">
      <alignment vertical="center"/>
    </xf>
    <xf numFmtId="0" fontId="10" fillId="0" borderId="15" xfId="3" applyFont="1" applyBorder="1" applyAlignment="1">
      <alignment vertical="center"/>
    </xf>
    <xf numFmtId="14" fontId="10" fillId="0" borderId="11" xfId="3" applyNumberFormat="1" applyFont="1" applyBorder="1" applyAlignment="1">
      <alignment vertical="center"/>
    </xf>
    <xf numFmtId="0" fontId="10" fillId="0" borderId="11" xfId="3" applyFont="1" applyBorder="1" applyAlignment="1">
      <alignment horizontal="center" vertical="center"/>
    </xf>
    <xf numFmtId="0" fontId="12" fillId="0" borderId="10" xfId="3" applyFont="1" applyBorder="1" applyAlignment="1">
      <alignment vertical="center"/>
    </xf>
    <xf numFmtId="49" fontId="10" fillId="0" borderId="11" xfId="3" applyNumberFormat="1" applyFont="1" applyBorder="1" applyAlignment="1">
      <alignment horizontal="center" vertical="center"/>
    </xf>
    <xf numFmtId="0" fontId="10" fillId="0" borderId="11" xfId="3" applyFont="1" applyBorder="1" applyAlignment="1">
      <alignment vertical="center"/>
    </xf>
    <xf numFmtId="0" fontId="10" fillId="0" borderId="12" xfId="3" applyFont="1" applyBorder="1" applyAlignment="1">
      <alignment vertical="center"/>
    </xf>
    <xf numFmtId="14" fontId="10" fillId="0" borderId="10" xfId="3" applyNumberFormat="1" applyFont="1" applyBorder="1" applyAlignment="1">
      <alignment horizontal="left" vertical="center"/>
    </xf>
    <xf numFmtId="0" fontId="9" fillId="10" borderId="9" xfId="0" applyFont="1" applyFill="1" applyBorder="1" applyAlignment="1">
      <alignment horizontal="center" wrapText="1"/>
    </xf>
    <xf numFmtId="165" fontId="9" fillId="10" borderId="9" xfId="0" applyNumberFormat="1" applyFont="1" applyFill="1" applyBorder="1" applyAlignment="1">
      <alignment horizontal="center" wrapText="1"/>
    </xf>
    <xf numFmtId="0" fontId="9" fillId="0" borderId="0" xfId="0" applyFont="1" applyAlignment="1">
      <alignment wrapText="1"/>
    </xf>
    <xf numFmtId="1" fontId="8" fillId="0" borderId="4" xfId="0" applyNumberFormat="1" applyFont="1" applyFill="1" applyBorder="1" applyAlignment="1">
      <alignment horizontal="center"/>
    </xf>
    <xf numFmtId="0" fontId="8" fillId="0" borderId="4" xfId="0" applyFont="1" applyFill="1" applyBorder="1" applyAlignment="1">
      <alignment vertical="top" wrapText="1"/>
    </xf>
    <xf numFmtId="0" fontId="8" fillId="0" borderId="4" xfId="0" applyFont="1" applyFill="1" applyBorder="1" applyAlignment="1">
      <alignment wrapText="1"/>
    </xf>
    <xf numFmtId="165" fontId="8" fillId="0" borderId="4" xfId="0" applyNumberFormat="1" applyFont="1" applyFill="1" applyBorder="1" applyAlignment="1">
      <alignment horizontal="right" wrapText="1"/>
    </xf>
    <xf numFmtId="15" fontId="8" fillId="0" borderId="4" xfId="0" applyNumberFormat="1" applyFont="1" applyFill="1" applyBorder="1" applyAlignment="1">
      <alignment horizontal="right" wrapText="1"/>
    </xf>
    <xf numFmtId="0" fontId="8" fillId="0" borderId="4" xfId="0" applyFont="1" applyFill="1" applyBorder="1" applyAlignment="1">
      <alignment horizontal="right" wrapText="1"/>
    </xf>
    <xf numFmtId="49" fontId="8" fillId="0" borderId="0" xfId="0" applyNumberFormat="1" applyFont="1" applyAlignment="1">
      <alignment horizontal="center"/>
    </xf>
    <xf numFmtId="165" fontId="8" fillId="16" borderId="0" xfId="0" applyNumberFormat="1" applyFont="1" applyFill="1"/>
    <xf numFmtId="0" fontId="10" fillId="0" borderId="0" xfId="0" applyFont="1" applyAlignment="1">
      <alignment horizontal="center"/>
    </xf>
    <xf numFmtId="49" fontId="10" fillId="0" borderId="10" xfId="3" applyNumberFormat="1" applyFont="1" applyBorder="1" applyAlignment="1"/>
    <xf numFmtId="0" fontId="10" fillId="0" borderId="11" xfId="3" applyFont="1" applyBorder="1" applyAlignment="1">
      <alignment horizontal="left"/>
    </xf>
    <xf numFmtId="0" fontId="10" fillId="0" borderId="11" xfId="3" applyFont="1" applyBorder="1" applyAlignment="1"/>
    <xf numFmtId="0" fontId="10" fillId="0" borderId="12" xfId="3" applyFont="1" applyBorder="1" applyAlignment="1"/>
    <xf numFmtId="0" fontId="8" fillId="0" borderId="0" xfId="2" applyFont="1" applyAlignment="1"/>
    <xf numFmtId="165" fontId="8" fillId="0" borderId="0" xfId="2" applyNumberFormat="1" applyFont="1" applyAlignment="1"/>
    <xf numFmtId="0" fontId="8" fillId="0" borderId="0" xfId="2" applyFont="1" applyAlignment="1">
      <alignment horizontal="center"/>
    </xf>
    <xf numFmtId="49" fontId="12" fillId="0" borderId="10" xfId="3" applyNumberFormat="1" applyFont="1" applyBorder="1" applyAlignment="1"/>
    <xf numFmtId="0" fontId="12" fillId="0" borderId="11" xfId="3" applyFont="1" applyBorder="1" applyAlignment="1">
      <alignment horizontal="left"/>
    </xf>
    <xf numFmtId="0" fontId="12" fillId="0" borderId="11" xfId="3" applyFont="1" applyBorder="1" applyAlignment="1"/>
    <xf numFmtId="0" fontId="12" fillId="0" borderId="12" xfId="3" applyFont="1" applyBorder="1" applyAlignment="1"/>
    <xf numFmtId="49" fontId="10" fillId="0" borderId="13" xfId="3" applyNumberFormat="1" applyFont="1" applyBorder="1" applyAlignment="1"/>
    <xf numFmtId="0" fontId="10" fillId="0" borderId="14" xfId="3" applyFont="1" applyBorder="1" applyAlignment="1">
      <alignment horizontal="left"/>
    </xf>
    <xf numFmtId="0" fontId="10" fillId="0" borderId="14" xfId="3" applyFont="1" applyBorder="1" applyAlignment="1"/>
    <xf numFmtId="0" fontId="10" fillId="0" borderId="15" xfId="3" applyFont="1" applyBorder="1" applyAlignment="1"/>
    <xf numFmtId="49" fontId="10" fillId="0" borderId="16" xfId="3" applyNumberFormat="1" applyFont="1" applyBorder="1" applyAlignment="1"/>
    <xf numFmtId="0" fontId="10" fillId="0" borderId="17" xfId="3" applyFont="1" applyBorder="1" applyAlignment="1">
      <alignment horizontal="left"/>
    </xf>
    <xf numFmtId="0" fontId="10" fillId="0" borderId="17" xfId="3" applyFont="1" applyBorder="1" applyAlignment="1"/>
    <xf numFmtId="0" fontId="10" fillId="0" borderId="18" xfId="3" applyFont="1" applyBorder="1" applyAlignment="1"/>
    <xf numFmtId="49" fontId="10" fillId="0" borderId="10" xfId="3" applyNumberFormat="1" applyFont="1" applyBorder="1" applyAlignment="1">
      <alignment horizontal="right"/>
    </xf>
    <xf numFmtId="0" fontId="10" fillId="0" borderId="12" xfId="3" applyFont="1" applyBorder="1" applyAlignment="1">
      <alignment horizontal="left"/>
    </xf>
    <xf numFmtId="14" fontId="10" fillId="0" borderId="12" xfId="3" applyNumberFormat="1" applyFont="1" applyBorder="1" applyAlignment="1"/>
    <xf numFmtId="0" fontId="10" fillId="0" borderId="10" xfId="3" applyFont="1" applyBorder="1" applyAlignment="1">
      <alignment horizontal="right"/>
    </xf>
    <xf numFmtId="49" fontId="10" fillId="0" borderId="13" xfId="3" applyNumberFormat="1" applyFont="1" applyBorder="1" applyAlignment="1">
      <alignment horizontal="right"/>
    </xf>
    <xf numFmtId="165" fontId="10" fillId="0" borderId="14" xfId="3" applyNumberFormat="1" applyFont="1" applyBorder="1" applyAlignment="1">
      <alignment horizontal="left"/>
    </xf>
    <xf numFmtId="49" fontId="10" fillId="0" borderId="10" xfId="3" applyNumberFormat="1" applyFont="1" applyFill="1" applyBorder="1" applyAlignment="1"/>
    <xf numFmtId="0" fontId="10" fillId="0" borderId="11" xfId="3" applyFont="1" applyFill="1" applyBorder="1" applyAlignment="1">
      <alignment horizontal="left"/>
    </xf>
    <xf numFmtId="14" fontId="10" fillId="0" borderId="11" xfId="3" applyNumberFormat="1" applyFont="1" applyBorder="1" applyAlignment="1"/>
    <xf numFmtId="0" fontId="10" fillId="0" borderId="11" xfId="3" applyFont="1" applyBorder="1" applyAlignment="1">
      <alignment horizontal="center"/>
    </xf>
    <xf numFmtId="49" fontId="10" fillId="0" borderId="10" xfId="3" applyNumberFormat="1" applyFont="1" applyBorder="1" applyAlignment="1">
      <alignment horizontal="left"/>
    </xf>
    <xf numFmtId="0" fontId="9" fillId="10" borderId="9" xfId="2" applyFont="1" applyFill="1" applyBorder="1" applyAlignment="1">
      <alignment horizontal="left" vertical="center"/>
    </xf>
    <xf numFmtId="0" fontId="9" fillId="10" borderId="9" xfId="2" applyFont="1" applyFill="1" applyBorder="1" applyAlignment="1">
      <alignment horizontal="center" vertical="center" wrapText="1"/>
    </xf>
    <xf numFmtId="165" fontId="9" fillId="10" borderId="9" xfId="2" applyNumberFormat="1" applyFont="1" applyFill="1" applyBorder="1" applyAlignment="1">
      <alignment horizontal="center" vertical="center" wrapText="1"/>
    </xf>
    <xf numFmtId="0" fontId="9" fillId="10" borderId="9" xfId="2" applyFont="1" applyFill="1" applyBorder="1" applyAlignment="1">
      <alignment vertical="center" wrapText="1"/>
    </xf>
    <xf numFmtId="0" fontId="9" fillId="0" borderId="0" xfId="0" applyFont="1" applyAlignment="1">
      <alignment vertical="center" wrapText="1"/>
    </xf>
    <xf numFmtId="1" fontId="8" fillId="0" borderId="4" xfId="2" applyNumberFormat="1" applyFont="1" applyFill="1" applyBorder="1" applyAlignment="1">
      <alignment horizontal="center"/>
    </xf>
    <xf numFmtId="0" fontId="8" fillId="0" borderId="4" xfId="2" applyFont="1" applyFill="1" applyBorder="1" applyAlignment="1">
      <alignment horizontal="left"/>
    </xf>
    <xf numFmtId="0" fontId="8" fillId="0" borderId="4" xfId="2" applyFont="1" applyFill="1" applyBorder="1" applyAlignment="1"/>
    <xf numFmtId="0" fontId="14" fillId="0" borderId="4" xfId="2" applyFont="1" applyFill="1" applyBorder="1" applyAlignment="1"/>
    <xf numFmtId="165" fontId="8" fillId="0" borderId="4" xfId="2" applyNumberFormat="1" applyFont="1" applyFill="1" applyBorder="1" applyAlignment="1">
      <alignment horizontal="right"/>
    </xf>
    <xf numFmtId="15" fontId="8" fillId="0" borderId="4" xfId="2" applyNumberFormat="1" applyFont="1" applyFill="1" applyBorder="1" applyAlignment="1">
      <alignment horizontal="right"/>
    </xf>
    <xf numFmtId="0" fontId="8" fillId="0" borderId="4" xfId="2" applyFont="1" applyFill="1" applyBorder="1" applyAlignment="1">
      <alignment horizontal="right"/>
    </xf>
    <xf numFmtId="0" fontId="8" fillId="0" borderId="4" xfId="2" applyFont="1" applyFill="1" applyBorder="1" applyAlignment="1">
      <alignment horizontal="center"/>
    </xf>
    <xf numFmtId="0" fontId="14" fillId="0" borderId="4" xfId="2" applyFont="1" applyFill="1" applyBorder="1" applyAlignment="1">
      <alignment horizontal="center"/>
    </xf>
    <xf numFmtId="0" fontId="15" fillId="0" borderId="4" xfId="2" applyFont="1" applyFill="1" applyBorder="1" applyAlignment="1"/>
    <xf numFmtId="1" fontId="8" fillId="0" borderId="4" xfId="2" applyNumberFormat="1" applyFont="1" applyFill="1" applyBorder="1" applyAlignment="1">
      <alignment horizontal="center" wrapText="1"/>
    </xf>
    <xf numFmtId="0" fontId="8" fillId="0" borderId="4" xfId="2" applyFont="1" applyFill="1" applyBorder="1" applyAlignment="1">
      <alignment wrapText="1"/>
    </xf>
    <xf numFmtId="165" fontId="8" fillId="0" borderId="4" xfId="2" applyNumberFormat="1" applyFont="1" applyFill="1" applyBorder="1" applyAlignment="1">
      <alignment horizontal="right" wrapText="1"/>
    </xf>
    <xf numFmtId="15" fontId="8" fillId="0" borderId="4" xfId="2" applyNumberFormat="1" applyFont="1" applyFill="1" applyBorder="1" applyAlignment="1">
      <alignment horizontal="right" wrapText="1"/>
    </xf>
    <xf numFmtId="0" fontId="8" fillId="0" borderId="4" xfId="2" applyFont="1" applyFill="1" applyBorder="1" applyAlignment="1">
      <alignment horizontal="right" wrapText="1"/>
    </xf>
    <xf numFmtId="0" fontId="8" fillId="0" borderId="4" xfId="2" applyFont="1" applyFill="1" applyBorder="1" applyAlignment="1">
      <alignment horizontal="center" wrapText="1"/>
    </xf>
    <xf numFmtId="0" fontId="8" fillId="0" borderId="0" xfId="2" applyFont="1"/>
    <xf numFmtId="49" fontId="10" fillId="0" borderId="0" xfId="0" applyNumberFormat="1" applyFont="1" applyAlignment="1">
      <alignment horizontal="center"/>
    </xf>
    <xf numFmtId="0" fontId="10" fillId="0" borderId="0" xfId="0" applyFont="1" applyAlignment="1">
      <alignment horizontal="left"/>
    </xf>
    <xf numFmtId="0" fontId="10" fillId="0" borderId="0" xfId="0" applyFont="1" applyAlignment="1"/>
    <xf numFmtId="49" fontId="8" fillId="0" borderId="0" xfId="2" applyNumberFormat="1" applyFont="1"/>
    <xf numFmtId="0" fontId="8" fillId="0" borderId="0" xfId="2" applyFont="1" applyAlignment="1">
      <alignment horizontal="left"/>
    </xf>
    <xf numFmtId="165" fontId="8" fillId="16" borderId="0" xfId="2" applyNumberFormat="1" applyFont="1" applyFill="1"/>
    <xf numFmtId="49" fontId="10" fillId="0" borderId="0" xfId="0" applyNumberFormat="1" applyFont="1"/>
    <xf numFmtId="0" fontId="10" fillId="0" borderId="10" xfId="3" applyFont="1" applyBorder="1" applyAlignment="1"/>
    <xf numFmtId="0" fontId="8" fillId="0" borderId="0" xfId="2" applyFont="1" applyAlignment="1">
      <alignment horizontal="center" vertical="center"/>
    </xf>
    <xf numFmtId="0" fontId="8" fillId="0" borderId="0" xfId="2" applyFont="1" applyAlignment="1">
      <alignment vertical="center"/>
    </xf>
    <xf numFmtId="0" fontId="12" fillId="0" borderId="10" xfId="3" applyFont="1" applyBorder="1" applyAlignment="1"/>
    <xf numFmtId="0" fontId="10" fillId="0" borderId="13" xfId="3" applyFont="1" applyBorder="1" applyAlignment="1"/>
    <xf numFmtId="0" fontId="10" fillId="0" borderId="16" xfId="3" applyFont="1" applyBorder="1" applyAlignment="1"/>
    <xf numFmtId="0" fontId="10" fillId="0" borderId="13" xfId="3" applyFont="1" applyBorder="1" applyAlignment="1">
      <alignment horizontal="right"/>
    </xf>
    <xf numFmtId="165" fontId="10" fillId="0" borderId="14" xfId="3" applyNumberFormat="1" applyFont="1" applyBorder="1" applyAlignment="1"/>
    <xf numFmtId="0" fontId="10" fillId="0" borderId="10" xfId="3" applyFont="1" applyFill="1" applyBorder="1" applyAlignment="1"/>
    <xf numFmtId="0" fontId="10" fillId="0" borderId="11" xfId="3" applyFont="1" applyFill="1" applyBorder="1" applyAlignment="1"/>
    <xf numFmtId="14" fontId="10" fillId="0" borderId="10" xfId="3" applyNumberFormat="1" applyFont="1" applyBorder="1" applyAlignment="1">
      <alignment horizontal="left"/>
    </xf>
    <xf numFmtId="165" fontId="9" fillId="10" borderId="9" xfId="2" applyNumberFormat="1" applyFont="1" applyFill="1" applyBorder="1" applyAlignment="1">
      <alignment horizontal="right" wrapText="1"/>
    </xf>
    <xf numFmtId="0" fontId="9" fillId="10" borderId="9" xfId="2" applyFont="1" applyFill="1" applyBorder="1" applyAlignment="1">
      <alignment horizontal="right" vertical="center" wrapText="1"/>
    </xf>
    <xf numFmtId="0" fontId="9" fillId="10" borderId="9" xfId="2" applyFont="1" applyFill="1" applyBorder="1" applyAlignment="1">
      <alignment horizontal="right" vertical="center"/>
    </xf>
    <xf numFmtId="0" fontId="9" fillId="10" borderId="9" xfId="2" applyFont="1" applyFill="1" applyBorder="1" applyAlignment="1">
      <alignment vertical="center"/>
    </xf>
    <xf numFmtId="0" fontId="9" fillId="0" borderId="0" xfId="0" applyFont="1" applyAlignment="1">
      <alignment horizontal="right" wrapText="1"/>
    </xf>
    <xf numFmtId="15" fontId="8" fillId="0" borderId="4" xfId="2" applyNumberFormat="1" applyFont="1" applyFill="1" applyBorder="1" applyAlignment="1">
      <alignment horizontal="center"/>
    </xf>
    <xf numFmtId="0" fontId="8" fillId="0" borderId="4" xfId="2" applyFont="1" applyFill="1" applyBorder="1" applyAlignment="1">
      <alignment horizontal="center" vertical="center"/>
    </xf>
    <xf numFmtId="0" fontId="8" fillId="0" borderId="4" xfId="2" applyFont="1" applyFill="1" applyBorder="1" applyAlignment="1">
      <alignment vertical="center"/>
    </xf>
    <xf numFmtId="0" fontId="15" fillId="0" borderId="4" xfId="2" applyFont="1" applyFill="1" applyBorder="1" applyAlignment="1">
      <alignment vertical="center"/>
    </xf>
    <xf numFmtId="0" fontId="15" fillId="0" borderId="4" xfId="2" applyFont="1" applyFill="1" applyBorder="1" applyAlignment="1">
      <alignment horizontal="center"/>
    </xf>
    <xf numFmtId="0" fontId="16" fillId="0" borderId="4" xfId="2" applyFont="1" applyFill="1" applyBorder="1" applyAlignment="1"/>
    <xf numFmtId="0" fontId="16" fillId="0" borderId="4" xfId="2" applyFont="1" applyFill="1" applyBorder="1" applyAlignment="1">
      <alignment vertical="center"/>
    </xf>
    <xf numFmtId="0" fontId="16" fillId="0" borderId="4" xfId="2" applyFont="1" applyFill="1" applyBorder="1" applyAlignment="1">
      <alignment horizontal="center"/>
    </xf>
    <xf numFmtId="0" fontId="9" fillId="0" borderId="0" xfId="0" applyFont="1" applyAlignment="1">
      <alignment horizontal="center" vertical="center"/>
    </xf>
    <xf numFmtId="0" fontId="9" fillId="0" borderId="0" xfId="0" applyFont="1" applyAlignment="1">
      <alignment vertical="center"/>
    </xf>
    <xf numFmtId="0" fontId="9" fillId="0" borderId="0" xfId="2" applyFont="1" applyAlignment="1"/>
    <xf numFmtId="165" fontId="9" fillId="16" borderId="0" xfId="2" applyNumberFormat="1" applyFont="1" applyFill="1" applyAlignment="1"/>
    <xf numFmtId="165" fontId="9" fillId="0" borderId="0" xfId="2" applyNumberFormat="1" applyFont="1" applyAlignment="1">
      <alignment horizontal="center"/>
    </xf>
    <xf numFmtId="0" fontId="9" fillId="0" borderId="0" xfId="2" applyFont="1" applyAlignment="1">
      <alignment horizontal="center"/>
    </xf>
    <xf numFmtId="0" fontId="9" fillId="0" borderId="0" xfId="2" applyFont="1" applyAlignment="1">
      <alignment horizontal="center" vertical="center"/>
    </xf>
    <xf numFmtId="0" fontId="9" fillId="0" borderId="0" xfId="2" applyFont="1" applyAlignment="1">
      <alignment vertical="center"/>
    </xf>
    <xf numFmtId="0" fontId="10" fillId="0" borderId="0" xfId="0" applyFont="1" applyAlignment="1">
      <alignment horizontal="center" vertical="center"/>
    </xf>
    <xf numFmtId="0" fontId="12" fillId="0" borderId="10" xfId="3" applyFont="1" applyBorder="1" applyAlignment="1">
      <alignment horizontal="center"/>
    </xf>
    <xf numFmtId="0" fontId="12" fillId="0" borderId="12" xfId="3" applyFont="1" applyBorder="1" applyAlignment="1">
      <alignment horizontal="left"/>
    </xf>
    <xf numFmtId="165" fontId="9" fillId="0" borderId="0" xfId="0" applyNumberFormat="1" applyFont="1"/>
    <xf numFmtId="0" fontId="12" fillId="0" borderId="13" xfId="3" applyFont="1" applyBorder="1" applyAlignment="1">
      <alignment horizontal="center"/>
    </xf>
    <xf numFmtId="0" fontId="12" fillId="0" borderId="14" xfId="3" applyFont="1" applyBorder="1" applyAlignment="1">
      <alignment horizontal="left"/>
    </xf>
    <xf numFmtId="0" fontId="12" fillId="0" borderId="14" xfId="3" applyFont="1" applyBorder="1"/>
    <xf numFmtId="0" fontId="12" fillId="0" borderId="15" xfId="3" applyFont="1" applyBorder="1" applyAlignment="1">
      <alignment horizontal="left"/>
    </xf>
    <xf numFmtId="0" fontId="12" fillId="0" borderId="16" xfId="3" applyFont="1" applyBorder="1" applyAlignment="1">
      <alignment horizontal="center"/>
    </xf>
    <xf numFmtId="0" fontId="12" fillId="0" borderId="17" xfId="3" applyFont="1" applyBorder="1" applyAlignment="1">
      <alignment horizontal="left"/>
    </xf>
    <xf numFmtId="0" fontId="12" fillId="0" borderId="17" xfId="3" applyFont="1" applyBorder="1"/>
    <xf numFmtId="0" fontId="12" fillId="0" borderId="18" xfId="3" applyFont="1" applyBorder="1" applyAlignment="1">
      <alignment horizontal="left"/>
    </xf>
    <xf numFmtId="14" fontId="12" fillId="0" borderId="12" xfId="3" applyNumberFormat="1" applyFont="1" applyBorder="1"/>
    <xf numFmtId="0" fontId="12" fillId="0" borderId="10" xfId="3" applyFont="1" applyBorder="1" applyAlignment="1">
      <alignment horizontal="right"/>
    </xf>
    <xf numFmtId="14" fontId="12" fillId="0" borderId="12" xfId="3" applyNumberFormat="1" applyFont="1" applyBorder="1" applyAlignment="1">
      <alignment horizontal="left"/>
    </xf>
    <xf numFmtId="165" fontId="12" fillId="0" borderId="14" xfId="3" applyNumberFormat="1" applyFont="1" applyBorder="1" applyAlignment="1">
      <alignment horizontal="left"/>
    </xf>
    <xf numFmtId="0" fontId="12" fillId="0" borderId="10" xfId="3" applyFont="1" applyFill="1" applyBorder="1" applyAlignment="1">
      <alignment horizontal="center"/>
    </xf>
    <xf numFmtId="0" fontId="12" fillId="0" borderId="11" xfId="3" applyFont="1" applyFill="1" applyBorder="1" applyAlignment="1">
      <alignment horizontal="left"/>
    </xf>
    <xf numFmtId="14" fontId="12" fillId="0" borderId="11" xfId="3" applyNumberFormat="1" applyFont="1" applyBorder="1"/>
    <xf numFmtId="0" fontId="12" fillId="0" borderId="11" xfId="3" applyFont="1" applyBorder="1" applyAlignment="1">
      <alignment horizontal="center"/>
    </xf>
    <xf numFmtId="0" fontId="12" fillId="0" borderId="11" xfId="3" applyFont="1" applyBorder="1"/>
    <xf numFmtId="14" fontId="12" fillId="0" borderId="10" xfId="3" applyNumberFormat="1" applyFont="1" applyBorder="1" applyAlignment="1">
      <alignment horizontal="center"/>
    </xf>
    <xf numFmtId="0" fontId="9" fillId="10" borderId="9" xfId="0" applyFont="1" applyFill="1" applyBorder="1" applyAlignment="1">
      <alignment horizontal="left" wrapText="1"/>
    </xf>
    <xf numFmtId="0" fontId="8" fillId="0" borderId="4" xfId="0" applyFont="1" applyFill="1" applyBorder="1" applyAlignment="1">
      <alignment horizontal="left"/>
    </xf>
    <xf numFmtId="0" fontId="8" fillId="0" borderId="4" xfId="0" applyFont="1" applyFill="1" applyBorder="1" applyAlignment="1"/>
    <xf numFmtId="0" fontId="15" fillId="0" borderId="4" xfId="0" applyFont="1" applyFill="1" applyBorder="1" applyAlignment="1"/>
    <xf numFmtId="165" fontId="8" fillId="0" borderId="4" xfId="0" applyNumberFormat="1" applyFont="1" applyFill="1" applyBorder="1" applyAlignment="1">
      <alignment horizontal="right"/>
    </xf>
    <xf numFmtId="15" fontId="8" fillId="0" borderId="4" xfId="0" applyNumberFormat="1" applyFont="1" applyFill="1" applyBorder="1" applyAlignment="1">
      <alignment horizontal="right"/>
    </xf>
    <xf numFmtId="0" fontId="8" fillId="0" borderId="4" xfId="0" applyFont="1" applyFill="1" applyBorder="1" applyAlignment="1">
      <alignment horizontal="right"/>
    </xf>
    <xf numFmtId="0" fontId="8" fillId="0" borderId="4" xfId="0" applyFont="1" applyFill="1" applyBorder="1" applyAlignment="1">
      <alignment horizontal="center"/>
    </xf>
    <xf numFmtId="0" fontId="8" fillId="0" borderId="0" xfId="0" applyFont="1" applyAlignment="1"/>
    <xf numFmtId="0" fontId="15" fillId="0" borderId="4" xfId="0" applyFont="1" applyFill="1" applyBorder="1" applyAlignment="1">
      <alignment horizontal="center"/>
    </xf>
    <xf numFmtId="0" fontId="15" fillId="0" borderId="4" xfId="0" applyFont="1" applyFill="1" applyBorder="1" applyAlignment="1">
      <alignment horizontal="left"/>
    </xf>
    <xf numFmtId="165" fontId="17" fillId="0" borderId="4" xfId="0" applyNumberFormat="1" applyFont="1" applyFill="1" applyBorder="1" applyAlignment="1">
      <alignment horizontal="right"/>
    </xf>
    <xf numFmtId="49" fontId="9" fillId="0" borderId="0" xfId="0" applyNumberFormat="1" applyFont="1" applyAlignment="1">
      <alignment horizontal="center"/>
    </xf>
    <xf numFmtId="0" fontId="9" fillId="0" borderId="0" xfId="0" applyFont="1" applyAlignment="1">
      <alignment horizontal="left"/>
    </xf>
    <xf numFmtId="165" fontId="9" fillId="0" borderId="0" xfId="0" applyNumberFormat="1" applyFont="1" applyAlignment="1"/>
    <xf numFmtId="165" fontId="9" fillId="16" borderId="0" xfId="0" applyNumberFormat="1" applyFont="1" applyFill="1" applyAlignment="1"/>
    <xf numFmtId="0" fontId="8" fillId="0" borderId="0" xfId="0" applyFont="1" applyAlignment="1">
      <alignment horizontal="center"/>
    </xf>
    <xf numFmtId="165" fontId="8" fillId="0" borderId="0" xfId="0" applyNumberFormat="1" applyFont="1" applyAlignment="1"/>
    <xf numFmtId="165" fontId="10" fillId="0" borderId="0" xfId="0" applyNumberFormat="1" applyFont="1"/>
    <xf numFmtId="0" fontId="10" fillId="0" borderId="16" xfId="3" applyFont="1" applyBorder="1"/>
    <xf numFmtId="0" fontId="10" fillId="0" borderId="17" xfId="3" applyFont="1" applyBorder="1"/>
    <xf numFmtId="0" fontId="10" fillId="0" borderId="18" xfId="3" applyFont="1" applyBorder="1"/>
    <xf numFmtId="0" fontId="10" fillId="0" borderId="12" xfId="3" applyFont="1" applyBorder="1"/>
    <xf numFmtId="14" fontId="10" fillId="0" borderId="12" xfId="3" applyNumberFormat="1" applyFont="1" applyBorder="1"/>
    <xf numFmtId="165" fontId="10" fillId="0" borderId="14" xfId="3" applyNumberFormat="1" applyFont="1" applyBorder="1"/>
    <xf numFmtId="14" fontId="10" fillId="0" borderId="11" xfId="3" applyNumberFormat="1" applyFont="1" applyBorder="1"/>
    <xf numFmtId="0" fontId="12" fillId="0" borderId="10" xfId="3" applyFont="1" applyBorder="1"/>
    <xf numFmtId="0" fontId="10" fillId="0" borderId="11" xfId="3" applyFont="1" applyBorder="1"/>
    <xf numFmtId="0" fontId="9" fillId="10" borderId="9" xfId="0" applyFont="1" applyFill="1" applyBorder="1" applyAlignment="1">
      <alignment horizontal="center"/>
    </xf>
    <xf numFmtId="165" fontId="9" fillId="10" borderId="9" xfId="0" applyNumberFormat="1" applyFont="1" applyFill="1" applyBorder="1" applyAlignment="1">
      <alignment horizontal="center"/>
    </xf>
    <xf numFmtId="0" fontId="12" fillId="0" borderId="0" xfId="0" applyFont="1"/>
    <xf numFmtId="1" fontId="8" fillId="0" borderId="4" xfId="0" applyNumberFormat="1" applyFont="1" applyFill="1" applyBorder="1" applyAlignment="1">
      <alignment horizontal="center" wrapText="1"/>
    </xf>
    <xf numFmtId="0" fontId="15" fillId="0" borderId="4" xfId="0" applyFont="1" applyFill="1" applyBorder="1" applyAlignment="1">
      <alignment wrapText="1"/>
    </xf>
    <xf numFmtId="0" fontId="8" fillId="0" borderId="4" xfId="0" applyFont="1" applyFill="1" applyBorder="1" applyAlignment="1">
      <alignment horizontal="center" wrapText="1"/>
    </xf>
    <xf numFmtId="165" fontId="10" fillId="16" borderId="0" xfId="0" applyNumberFormat="1" applyFont="1" applyFill="1"/>
    <xf numFmtId="0" fontId="9" fillId="10" borderId="9" xfId="0" applyFont="1" applyFill="1" applyBorder="1" applyAlignment="1">
      <alignment horizontal="center" vertical="center" wrapText="1"/>
    </xf>
    <xf numFmtId="0" fontId="9" fillId="10" borderId="9" xfId="0" applyFont="1" applyFill="1" applyBorder="1" applyAlignment="1">
      <alignment wrapText="1"/>
    </xf>
    <xf numFmtId="0" fontId="8" fillId="0" borderId="4" xfId="0" applyFont="1" applyFill="1" applyBorder="1" applyAlignment="1">
      <alignment vertical="center" wrapText="1"/>
    </xf>
    <xf numFmtId="0" fontId="15" fillId="0" borderId="4" xfId="0" applyFont="1" applyFill="1" applyBorder="1" applyAlignment="1">
      <alignment horizontal="center" wrapText="1"/>
    </xf>
    <xf numFmtId="49" fontId="10" fillId="0" borderId="14" xfId="3" applyNumberFormat="1" applyFont="1" applyBorder="1"/>
    <xf numFmtId="49" fontId="10" fillId="0" borderId="17" xfId="3" applyNumberFormat="1" applyFont="1" applyBorder="1"/>
    <xf numFmtId="49" fontId="10" fillId="0" borderId="12" xfId="3" applyNumberFormat="1" applyFont="1" applyBorder="1"/>
    <xf numFmtId="49" fontId="10" fillId="0" borderId="11" xfId="3" applyNumberFormat="1" applyFont="1" applyBorder="1"/>
    <xf numFmtId="49" fontId="8" fillId="0" borderId="0" xfId="0" applyNumberFormat="1" applyFont="1"/>
    <xf numFmtId="0" fontId="10" fillId="0" borderId="13" xfId="3" applyFont="1" applyBorder="1" applyAlignment="1">
      <alignment vertical="center"/>
    </xf>
    <xf numFmtId="165" fontId="10" fillId="0" borderId="14" xfId="3" applyNumberFormat="1" applyFont="1" applyBorder="1" applyAlignment="1">
      <alignment vertical="center"/>
    </xf>
    <xf numFmtId="0" fontId="9" fillId="10" borderId="9" xfId="0" applyFont="1" applyFill="1" applyBorder="1" applyAlignment="1">
      <alignment horizontal="center" vertical="center"/>
    </xf>
    <xf numFmtId="0" fontId="9" fillId="18" borderId="9" xfId="0" applyFont="1" applyFill="1" applyBorder="1" applyAlignment="1">
      <alignment horizontal="center" vertical="center"/>
    </xf>
    <xf numFmtId="165" fontId="9" fillId="10" borderId="9" xfId="0" applyNumberFormat="1" applyFont="1" applyFill="1" applyBorder="1" applyAlignment="1">
      <alignment horizontal="center" vertical="center"/>
    </xf>
    <xf numFmtId="1" fontId="8" fillId="0" borderId="4" xfId="0" applyNumberFormat="1" applyFont="1" applyFill="1" applyBorder="1" applyAlignment="1">
      <alignment horizontal="center" vertical="center"/>
    </xf>
    <xf numFmtId="0" fontId="8" fillId="0" borderId="4" xfId="0" applyFont="1" applyBorder="1" applyAlignment="1">
      <alignment vertical="center"/>
    </xf>
    <xf numFmtId="0" fontId="8" fillId="0" borderId="4" xfId="0" applyFont="1" applyFill="1" applyBorder="1" applyAlignment="1">
      <alignment vertical="center"/>
    </xf>
    <xf numFmtId="0" fontId="15" fillId="0" borderId="4" xfId="0" applyFont="1" applyFill="1" applyBorder="1" applyAlignment="1">
      <alignment vertical="center"/>
    </xf>
    <xf numFmtId="165" fontId="8" fillId="0" borderId="4" xfId="0" applyNumberFormat="1" applyFont="1" applyFill="1" applyBorder="1" applyAlignment="1">
      <alignment horizontal="right" vertical="center"/>
    </xf>
    <xf numFmtId="165" fontId="9" fillId="0" borderId="19" xfId="0" applyNumberFormat="1" applyFont="1" applyFill="1" applyBorder="1" applyAlignment="1">
      <alignment horizontal="right" vertical="center"/>
    </xf>
    <xf numFmtId="15" fontId="8" fillId="0" borderId="4" xfId="0" applyNumberFormat="1" applyFont="1" applyFill="1" applyBorder="1" applyAlignment="1">
      <alignment horizontal="right" vertical="center"/>
    </xf>
    <xf numFmtId="0" fontId="8" fillId="0" borderId="4" xfId="0" applyFont="1" applyFill="1" applyBorder="1" applyAlignment="1">
      <alignment horizontal="right" vertical="center"/>
    </xf>
    <xf numFmtId="0" fontId="8" fillId="0" borderId="4" xfId="0" applyFont="1" applyFill="1" applyBorder="1" applyAlignment="1">
      <alignment horizontal="center" vertical="center"/>
    </xf>
    <xf numFmtId="165" fontId="9" fillId="0" borderId="20" xfId="0" applyNumberFormat="1" applyFont="1" applyFill="1" applyBorder="1" applyAlignment="1">
      <alignment horizontal="right" vertical="center"/>
    </xf>
    <xf numFmtId="0" fontId="15" fillId="0" borderId="4" xfId="0" applyFont="1" applyFill="1" applyBorder="1" applyAlignment="1">
      <alignment horizontal="center" vertical="center"/>
    </xf>
    <xf numFmtId="165" fontId="9" fillId="0" borderId="4" xfId="0" applyNumberFormat="1" applyFont="1" applyFill="1" applyBorder="1" applyAlignment="1">
      <alignment horizontal="right" vertical="center"/>
    </xf>
    <xf numFmtId="165" fontId="9" fillId="0" borderId="0" xfId="0" applyNumberFormat="1" applyFont="1" applyAlignment="1">
      <alignment vertical="center"/>
    </xf>
    <xf numFmtId="0" fontId="8" fillId="0" borderId="0" xfId="0" applyFont="1" applyAlignment="1">
      <alignment horizontal="center" vertical="center"/>
    </xf>
    <xf numFmtId="165" fontId="8" fillId="16" borderId="0" xfId="0" applyNumberFormat="1" applyFont="1" applyFill="1" applyAlignment="1">
      <alignment vertical="center"/>
    </xf>
    <xf numFmtId="165" fontId="8" fillId="0" borderId="0" xfId="0" applyNumberFormat="1" applyFont="1" applyAlignment="1">
      <alignment horizontal="center"/>
    </xf>
    <xf numFmtId="165" fontId="8" fillId="0" borderId="0" xfId="0" applyNumberFormat="1" applyFont="1" applyAlignment="1">
      <alignment wrapText="1"/>
    </xf>
    <xf numFmtId="49" fontId="10" fillId="0" borderId="17" xfId="3" applyNumberFormat="1" applyFont="1" applyBorder="1" applyAlignment="1">
      <alignment horizontal="center"/>
    </xf>
    <xf numFmtId="49" fontId="10" fillId="0" borderId="12" xfId="3" applyNumberFormat="1" applyFont="1" applyBorder="1" applyAlignment="1">
      <alignment horizontal="center"/>
    </xf>
    <xf numFmtId="49" fontId="10" fillId="0" borderId="11" xfId="3" applyNumberFormat="1" applyFont="1" applyBorder="1" applyAlignment="1">
      <alignment horizontal="center"/>
    </xf>
    <xf numFmtId="49" fontId="9" fillId="10" borderId="9" xfId="0" applyNumberFormat="1" applyFont="1" applyFill="1" applyBorder="1" applyAlignment="1">
      <alignment horizontal="center"/>
    </xf>
    <xf numFmtId="0" fontId="14" fillId="0" borderId="4" xfId="0" applyFont="1" applyFill="1" applyBorder="1" applyAlignment="1"/>
    <xf numFmtId="0" fontId="14" fillId="0" borderId="4" xfId="0" applyFont="1" applyFill="1" applyBorder="1" applyAlignment="1">
      <alignment horizontal="center"/>
    </xf>
    <xf numFmtId="15" fontId="8" fillId="0" borderId="4" xfId="0" applyNumberFormat="1" applyFont="1" applyFill="1" applyBorder="1" applyAlignment="1">
      <alignment horizontal="center"/>
    </xf>
    <xf numFmtId="165" fontId="8" fillId="16" borderId="0" xfId="0" applyNumberFormat="1" applyFont="1" applyFill="1" applyAlignment="1"/>
    <xf numFmtId="0" fontId="8" fillId="0" borderId="0" xfId="0" applyFont="1" applyAlignment="1">
      <alignment wrapText="1"/>
    </xf>
    <xf numFmtId="0" fontId="8" fillId="0" borderId="0" xfId="0" applyFont="1" applyAlignment="1">
      <alignment horizontal="left" vertical="center"/>
    </xf>
    <xf numFmtId="49" fontId="10" fillId="0" borderId="14" xfId="3" applyNumberFormat="1" applyFont="1" applyBorder="1" applyAlignment="1">
      <alignment vertical="center"/>
    </xf>
    <xf numFmtId="49" fontId="10" fillId="0" borderId="17" xfId="3" applyNumberFormat="1" applyFont="1" applyBorder="1" applyAlignment="1">
      <alignment vertical="center"/>
    </xf>
    <xf numFmtId="49" fontId="10" fillId="0" borderId="12" xfId="3" applyNumberFormat="1" applyFont="1" applyBorder="1" applyAlignment="1">
      <alignment vertical="center"/>
    </xf>
    <xf numFmtId="49" fontId="10" fillId="0" borderId="11" xfId="3" applyNumberFormat="1" applyFont="1" applyBorder="1" applyAlignment="1">
      <alignment vertical="center"/>
    </xf>
    <xf numFmtId="49" fontId="9" fillId="10" borderId="9" xfId="0" applyNumberFormat="1" applyFont="1" applyFill="1" applyBorder="1" applyAlignment="1">
      <alignment horizontal="center" vertical="center" wrapText="1"/>
    </xf>
    <xf numFmtId="0" fontId="9" fillId="18" borderId="9" xfId="0" applyFont="1" applyFill="1" applyBorder="1" applyAlignment="1">
      <alignment horizontal="center" vertical="center" wrapText="1"/>
    </xf>
    <xf numFmtId="165" fontId="9" fillId="10" borderId="9" xfId="0" applyNumberFormat="1" applyFont="1" applyFill="1" applyBorder="1" applyAlignment="1">
      <alignment horizontal="center" vertical="center" wrapText="1"/>
    </xf>
    <xf numFmtId="0" fontId="9" fillId="10" borderId="9" xfId="0" applyFont="1" applyFill="1" applyBorder="1" applyAlignment="1">
      <alignment horizontal="left" vertical="center"/>
    </xf>
    <xf numFmtId="0" fontId="8" fillId="0" borderId="4" xfId="0" applyFont="1" applyBorder="1" applyAlignment="1">
      <alignment vertical="center" wrapText="1"/>
    </xf>
    <xf numFmtId="0" fontId="15" fillId="0" borderId="4" xfId="0" applyFont="1" applyFill="1" applyBorder="1" applyAlignment="1">
      <alignment vertical="center" wrapText="1"/>
    </xf>
    <xf numFmtId="165" fontId="8" fillId="0" borderId="4" xfId="0" applyNumberFormat="1" applyFont="1" applyFill="1" applyBorder="1" applyAlignment="1">
      <alignment horizontal="right" vertical="center" wrapText="1"/>
    </xf>
    <xf numFmtId="15" fontId="8" fillId="0" borderId="4" xfId="0" applyNumberFormat="1" applyFont="1" applyFill="1" applyBorder="1" applyAlignment="1">
      <alignment horizontal="right" vertical="center" wrapText="1"/>
    </xf>
    <xf numFmtId="15" fontId="8" fillId="0" borderId="4" xfId="0" applyNumberFormat="1" applyFont="1" applyFill="1" applyBorder="1" applyAlignment="1">
      <alignment horizontal="center" vertical="center" wrapText="1"/>
    </xf>
    <xf numFmtId="0" fontId="8" fillId="0" borderId="4" xfId="0" applyFont="1" applyFill="1" applyBorder="1" applyAlignment="1">
      <alignment horizontal="right" vertical="center" wrapText="1"/>
    </xf>
    <xf numFmtId="0" fontId="8" fillId="0" borderId="4" xfId="0" applyFont="1" applyFill="1" applyBorder="1" applyAlignment="1">
      <alignment horizontal="left" vertical="center"/>
    </xf>
    <xf numFmtId="0" fontId="8" fillId="0" borderId="4" xfId="0" applyFont="1" applyFill="1" applyBorder="1" applyAlignment="1">
      <alignment horizontal="center" vertical="center" wrapText="1"/>
    </xf>
    <xf numFmtId="0" fontId="15" fillId="0" borderId="4" xfId="0" applyFont="1" applyFill="1" applyBorder="1" applyAlignment="1">
      <alignment horizontal="left" vertical="center"/>
    </xf>
    <xf numFmtId="0" fontId="15" fillId="0" borderId="4" xfId="0"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1" fontId="8" fillId="0" borderId="4" xfId="0" applyNumberFormat="1" applyFont="1" applyFill="1" applyBorder="1" applyAlignment="1">
      <alignment horizontal="center" vertical="center" wrapText="1"/>
    </xf>
    <xf numFmtId="0" fontId="8" fillId="0" borderId="4" xfId="0" applyNumberFormat="1" applyFont="1" applyFill="1" applyBorder="1" applyAlignment="1">
      <alignment vertical="center" wrapText="1"/>
    </xf>
    <xf numFmtId="0" fontId="10" fillId="0" borderId="14" xfId="3" applyFont="1" applyBorder="1" applyAlignment="1">
      <alignment horizontal="center"/>
    </xf>
    <xf numFmtId="0" fontId="10" fillId="0" borderId="17" xfId="3" applyFont="1" applyBorder="1" applyAlignment="1">
      <alignment horizontal="center"/>
    </xf>
    <xf numFmtId="0" fontId="10" fillId="0" borderId="12" xfId="3" applyFont="1" applyBorder="1" applyAlignment="1">
      <alignment horizontal="center"/>
    </xf>
    <xf numFmtId="165" fontId="10" fillId="0" borderId="14" xfId="3" applyNumberFormat="1" applyFont="1" applyBorder="1" applyAlignment="1">
      <alignment horizontal="center"/>
    </xf>
    <xf numFmtId="0" fontId="14" fillId="0" borderId="4" xfId="0" applyFont="1" applyFill="1" applyBorder="1" applyAlignment="1">
      <alignment wrapText="1"/>
    </xf>
    <xf numFmtId="165" fontId="8" fillId="0" borderId="21" xfId="0" applyNumberFormat="1" applyFont="1" applyFill="1" applyBorder="1" applyAlignment="1">
      <alignment horizontal="right" wrapText="1"/>
    </xf>
    <xf numFmtId="0" fontId="14" fillId="0" borderId="4" xfId="0" applyFont="1" applyFill="1" applyBorder="1" applyAlignment="1">
      <alignment horizontal="center" wrapText="1"/>
    </xf>
    <xf numFmtId="2" fontId="10" fillId="0" borderId="14" xfId="3" applyNumberFormat="1" applyFont="1" applyBorder="1"/>
    <xf numFmtId="2" fontId="10" fillId="0" borderId="17" xfId="3" applyNumberFormat="1" applyFont="1" applyBorder="1"/>
    <xf numFmtId="2" fontId="10" fillId="0" borderId="12" xfId="3" applyNumberFormat="1" applyFont="1" applyBorder="1"/>
    <xf numFmtId="2" fontId="10" fillId="0" borderId="11" xfId="3" applyNumberFormat="1" applyFont="1" applyBorder="1"/>
    <xf numFmtId="2" fontId="9" fillId="10" borderId="9" xfId="0" applyNumberFormat="1" applyFont="1" applyFill="1" applyBorder="1" applyAlignment="1">
      <alignment horizontal="center" wrapText="1"/>
    </xf>
    <xf numFmtId="0" fontId="12" fillId="0" borderId="0" xfId="0" applyFont="1" applyAlignment="1">
      <alignment wrapText="1"/>
    </xf>
    <xf numFmtId="2" fontId="10" fillId="0" borderId="0" xfId="0" applyNumberFormat="1" applyFont="1"/>
    <xf numFmtId="0" fontId="9" fillId="17" borderId="0" xfId="0" applyFont="1" applyFill="1" applyAlignment="1">
      <alignment horizontal="center" wrapText="1"/>
    </xf>
    <xf numFmtId="0" fontId="9" fillId="17" borderId="0" xfId="0" applyFont="1" applyFill="1" applyBorder="1" applyAlignment="1">
      <alignment horizontal="center" wrapText="1"/>
    </xf>
    <xf numFmtId="0" fontId="0" fillId="0" borderId="22" xfId="0" applyFont="1" applyFill="1" applyBorder="1" applyAlignment="1">
      <alignment horizontal="center"/>
    </xf>
    <xf numFmtId="0" fontId="3" fillId="0" borderId="0" xfId="0" applyFont="1" applyFill="1" applyAlignment="1">
      <alignment horizontal="center"/>
    </xf>
    <xf numFmtId="0" fontId="22" fillId="0" borderId="0" xfId="0" applyFont="1" applyFill="1" applyBorder="1" applyAlignment="1">
      <alignment horizontal="right" vertical="center" wrapText="1"/>
    </xf>
    <xf numFmtId="0" fontId="21" fillId="0" borderId="0" xfId="0" applyFont="1" applyAlignment="1">
      <alignment horizontal="right" vertical="center"/>
    </xf>
    <xf numFmtId="0" fontId="21" fillId="6" borderId="1" xfId="0" applyFont="1" applyFill="1" applyBorder="1" applyAlignment="1">
      <alignment horizontal="right" vertical="center"/>
    </xf>
    <xf numFmtId="0" fontId="21" fillId="0" borderId="1" xfId="0" applyFont="1" applyBorder="1" applyAlignment="1">
      <alignment horizontal="right" vertical="center"/>
    </xf>
    <xf numFmtId="2" fontId="21" fillId="8" borderId="1" xfId="1" applyNumberFormat="1" applyFont="1" applyFill="1" applyBorder="1" applyAlignment="1">
      <alignment horizontal="right" vertical="center"/>
    </xf>
    <xf numFmtId="2" fontId="21" fillId="8" borderId="1" xfId="0" applyNumberFormat="1" applyFont="1" applyFill="1" applyBorder="1" applyAlignment="1">
      <alignment horizontal="right" vertical="center"/>
    </xf>
    <xf numFmtId="164" fontId="21" fillId="8" borderId="1" xfId="0" applyNumberFormat="1" applyFont="1" applyFill="1" applyBorder="1" applyAlignment="1">
      <alignment horizontal="right" vertical="center"/>
    </xf>
    <xf numFmtId="1" fontId="21" fillId="0" borderId="0" xfId="0" applyNumberFormat="1" applyFont="1" applyFill="1" applyBorder="1" applyAlignment="1">
      <alignment horizontal="right" vertical="center"/>
    </xf>
    <xf numFmtId="0" fontId="0" fillId="0" borderId="0" xfId="0" applyFont="1" applyFill="1" applyAlignment="1">
      <alignment horizontal="center"/>
    </xf>
    <xf numFmtId="0" fontId="0" fillId="0" borderId="0" xfId="0" applyFont="1" applyFill="1" applyAlignment="1">
      <alignment horizontal="left"/>
    </xf>
    <xf numFmtId="0" fontId="0" fillId="0" borderId="0" xfId="0" applyFont="1" applyFill="1" applyBorder="1" applyAlignment="1">
      <alignment horizontal="left"/>
    </xf>
    <xf numFmtId="0" fontId="0" fillId="0" borderId="17" xfId="0" applyFont="1" applyFill="1" applyBorder="1" applyAlignment="1">
      <alignment horizontal="left"/>
    </xf>
    <xf numFmtId="0" fontId="21" fillId="7" borderId="1" xfId="0" applyFont="1" applyFill="1" applyBorder="1" applyAlignment="1">
      <alignment horizontal="right" vertical="center"/>
    </xf>
    <xf numFmtId="0" fontId="21" fillId="7" borderId="1" xfId="0" applyFont="1" applyFill="1" applyBorder="1" applyAlignment="1">
      <alignment horizontal="left" vertical="center"/>
    </xf>
    <xf numFmtId="0" fontId="0" fillId="0" borderId="25" xfId="0" applyFont="1" applyFill="1" applyBorder="1" applyAlignment="1">
      <alignment horizontal="center"/>
    </xf>
    <xf numFmtId="0" fontId="3" fillId="0" borderId="23" xfId="0" applyFont="1" applyFill="1" applyBorder="1" applyAlignment="1">
      <alignment horizontal="center"/>
    </xf>
    <xf numFmtId="0" fontId="3" fillId="0" borderId="26" xfId="0" applyFont="1" applyFill="1" applyBorder="1" applyAlignment="1">
      <alignment horizontal="left"/>
    </xf>
    <xf numFmtId="0" fontId="21" fillId="11" borderId="3" xfId="0" applyFont="1" applyFill="1" applyBorder="1" applyAlignment="1">
      <alignment horizontal="right" vertical="center"/>
    </xf>
    <xf numFmtId="0" fontId="21" fillId="12" borderId="1" xfId="0" applyFont="1" applyFill="1" applyBorder="1" applyAlignment="1">
      <alignment horizontal="right" vertical="center"/>
    </xf>
    <xf numFmtId="0" fontId="22" fillId="0" borderId="30" xfId="0" applyFont="1" applyBorder="1" applyAlignment="1">
      <alignment horizontal="left" vertical="center" wrapText="1"/>
    </xf>
    <xf numFmtId="0" fontId="21" fillId="0" borderId="31" xfId="0" applyFont="1" applyBorder="1" applyAlignment="1">
      <alignment horizontal="left" wrapText="1"/>
    </xf>
    <xf numFmtId="0" fontId="21" fillId="0" borderId="32" xfId="0" applyFont="1" applyBorder="1" applyAlignment="1">
      <alignment horizontal="left" wrapText="1"/>
    </xf>
    <xf numFmtId="0" fontId="22" fillId="0" borderId="30" xfId="0" applyFont="1" applyBorder="1" applyAlignment="1">
      <alignment horizontal="left"/>
    </xf>
    <xf numFmtId="165" fontId="21" fillId="0" borderId="33" xfId="0" applyNumberFormat="1" applyFont="1" applyFill="1" applyBorder="1" applyAlignment="1">
      <alignment horizontal="left"/>
    </xf>
    <xf numFmtId="165" fontId="21" fillId="0" borderId="34" xfId="0" applyNumberFormat="1" applyFont="1" applyFill="1" applyBorder="1" applyAlignment="1">
      <alignment horizontal="left"/>
    </xf>
    <xf numFmtId="0" fontId="3" fillId="0" borderId="35" xfId="0" applyFont="1" applyFill="1" applyBorder="1" applyAlignment="1">
      <alignment horizontal="left"/>
    </xf>
    <xf numFmtId="49" fontId="21" fillId="0" borderId="36" xfId="0" applyNumberFormat="1" applyFont="1" applyFill="1" applyBorder="1" applyAlignment="1">
      <alignment horizontal="left" wrapText="1"/>
    </xf>
    <xf numFmtId="49" fontId="21" fillId="0" borderId="37" xfId="0" applyNumberFormat="1" applyFont="1" applyFill="1" applyBorder="1" applyAlignment="1">
      <alignment horizontal="left" wrapText="1"/>
    </xf>
    <xf numFmtId="0" fontId="21" fillId="0" borderId="37" xfId="0" applyNumberFormat="1" applyFont="1" applyFill="1" applyBorder="1" applyAlignment="1">
      <alignment horizontal="left" wrapText="1"/>
    </xf>
    <xf numFmtId="49" fontId="21" fillId="0" borderId="38" xfId="0" applyNumberFormat="1" applyFont="1" applyFill="1" applyBorder="1" applyAlignment="1">
      <alignment horizontal="left" wrapText="1"/>
    </xf>
    <xf numFmtId="0" fontId="3" fillId="0" borderId="0" xfId="0" applyFont="1" applyFill="1" applyBorder="1" applyAlignment="1">
      <alignment horizontal="center"/>
    </xf>
    <xf numFmtId="0" fontId="0" fillId="0" borderId="0" xfId="0" applyFont="1" applyFill="1" applyBorder="1" applyAlignment="1">
      <alignment horizontal="center"/>
    </xf>
    <xf numFmtId="0" fontId="3" fillId="0" borderId="27" xfId="0" applyFont="1" applyFill="1" applyBorder="1" applyAlignment="1">
      <alignment vertical="top" wrapText="1"/>
    </xf>
    <xf numFmtId="165" fontId="21" fillId="0" borderId="28" xfId="0" applyNumberFormat="1" applyFont="1" applyFill="1" applyBorder="1" applyAlignment="1">
      <alignment vertical="top" wrapText="1"/>
    </xf>
    <xf numFmtId="165" fontId="21" fillId="0" borderId="29" xfId="0" applyNumberFormat="1" applyFont="1" applyFill="1" applyBorder="1" applyAlignment="1">
      <alignment vertical="top" wrapText="1"/>
    </xf>
    <xf numFmtId="165" fontId="21" fillId="0" borderId="39" xfId="0" applyNumberFormat="1" applyFont="1" applyFill="1" applyBorder="1" applyAlignment="1">
      <alignment horizontal="left"/>
    </xf>
    <xf numFmtId="49" fontId="21" fillId="0" borderId="40" xfId="0" applyNumberFormat="1" applyFont="1" applyFill="1" applyBorder="1" applyAlignment="1">
      <alignment horizontal="left" wrapText="1"/>
    </xf>
    <xf numFmtId="0" fontId="0" fillId="0" borderId="24" xfId="0" applyFont="1" applyFill="1" applyBorder="1" applyAlignment="1">
      <alignment horizontal="left"/>
    </xf>
    <xf numFmtId="165" fontId="21" fillId="0" borderId="41" xfId="0" applyNumberFormat="1" applyFont="1" applyFill="1" applyBorder="1" applyAlignment="1">
      <alignment horizontal="left"/>
    </xf>
    <xf numFmtId="0" fontId="21" fillId="0" borderId="41" xfId="0" applyFont="1" applyBorder="1" applyAlignment="1">
      <alignment horizontal="left" wrapText="1"/>
    </xf>
    <xf numFmtId="165" fontId="21" fillId="0" borderId="42" xfId="0" applyNumberFormat="1" applyFont="1" applyFill="1" applyBorder="1" applyAlignment="1">
      <alignment vertical="top" wrapText="1"/>
    </xf>
    <xf numFmtId="49" fontId="21" fillId="0" borderId="43" xfId="0" applyNumberFormat="1" applyFont="1" applyFill="1" applyBorder="1" applyAlignment="1">
      <alignment horizontal="left" wrapText="1"/>
    </xf>
    <xf numFmtId="0" fontId="0" fillId="0" borderId="2" xfId="0" applyFont="1" applyFill="1" applyBorder="1" applyAlignment="1">
      <alignment horizontal="left"/>
    </xf>
    <xf numFmtId="165" fontId="21" fillId="0" borderId="44" xfId="0" applyNumberFormat="1" applyFont="1" applyFill="1" applyBorder="1" applyAlignment="1">
      <alignment horizontal="left"/>
    </xf>
    <xf numFmtId="0" fontId="21" fillId="0" borderId="3" xfId="0" applyFont="1" applyBorder="1" applyAlignment="1">
      <alignment horizontal="left" wrapText="1"/>
    </xf>
    <xf numFmtId="165" fontId="21" fillId="0" borderId="45" xfId="0" applyNumberFormat="1" applyFont="1" applyFill="1" applyBorder="1" applyAlignment="1">
      <alignment vertical="top" wrapText="1"/>
    </xf>
    <xf numFmtId="0" fontId="21" fillId="0" borderId="36" xfId="0" applyNumberFormat="1" applyFont="1" applyFill="1" applyBorder="1" applyAlignment="1">
      <alignment horizontal="left" wrapText="1"/>
    </xf>
    <xf numFmtId="165" fontId="21" fillId="0" borderId="39" xfId="0" applyNumberFormat="1" applyFont="1" applyFill="1" applyBorder="1" applyAlignment="1">
      <alignment horizontal="left" wrapText="1"/>
    </xf>
    <xf numFmtId="0" fontId="21" fillId="0" borderId="43" xfId="0" applyNumberFormat="1" applyFont="1" applyFill="1" applyBorder="1" applyAlignment="1">
      <alignment horizontal="left" wrapText="1"/>
    </xf>
    <xf numFmtId="0" fontId="21" fillId="12" borderId="41" xfId="0" applyFont="1" applyFill="1" applyBorder="1" applyAlignment="1">
      <alignment horizontal="right" vertical="center"/>
    </xf>
    <xf numFmtId="0" fontId="21" fillId="12" borderId="1" xfId="0" applyFont="1" applyFill="1" applyBorder="1" applyAlignment="1">
      <alignment horizontal="center" vertical="center"/>
    </xf>
    <xf numFmtId="44" fontId="22" fillId="0" borderId="0" xfId="0" applyNumberFormat="1" applyFont="1" applyFill="1" applyBorder="1" applyAlignment="1">
      <alignment horizontal="center"/>
    </xf>
    <xf numFmtId="0" fontId="22" fillId="7" borderId="23" xfId="0" applyFont="1" applyFill="1" applyBorder="1" applyAlignment="1">
      <alignment horizontal="center"/>
    </xf>
    <xf numFmtId="0" fontId="0" fillId="7" borderId="22" xfId="0" applyFont="1" applyFill="1" applyBorder="1" applyAlignment="1">
      <alignment horizontal="center"/>
    </xf>
    <xf numFmtId="0" fontId="0" fillId="19" borderId="0" xfId="0" applyFont="1" applyFill="1" applyAlignment="1">
      <alignment horizontal="left"/>
    </xf>
    <xf numFmtId="166" fontId="21" fillId="11" borderId="3" xfId="0" applyNumberFormat="1" applyFont="1" applyFill="1" applyBorder="1" applyAlignment="1">
      <alignment horizontal="right" vertical="center"/>
    </xf>
    <xf numFmtId="166" fontId="21" fillId="6" borderId="1" xfId="0" applyNumberFormat="1" applyFont="1" applyFill="1" applyBorder="1" applyAlignment="1">
      <alignment horizontal="right" vertical="center"/>
    </xf>
    <xf numFmtId="0" fontId="23" fillId="0" borderId="0" xfId="5" applyFont="1" applyFill="1" applyBorder="1" applyAlignment="1">
      <alignment horizontal="center"/>
    </xf>
    <xf numFmtId="0" fontId="21" fillId="7" borderId="22" xfId="0" applyFont="1" applyFill="1" applyBorder="1" applyAlignment="1">
      <alignment horizontal="center" vertical="center"/>
    </xf>
    <xf numFmtId="0" fontId="4" fillId="7" borderId="22" xfId="5" applyFont="1" applyFill="1" applyBorder="1" applyAlignment="1">
      <alignment horizontal="center"/>
    </xf>
    <xf numFmtId="0" fontId="21" fillId="7" borderId="25" xfId="0" applyFont="1" applyFill="1" applyBorder="1" applyAlignment="1">
      <alignment horizontal="center" vertical="center"/>
    </xf>
    <xf numFmtId="0" fontId="3" fillId="0" borderId="0" xfId="0" applyFont="1" applyFill="1" applyBorder="1" applyAlignment="1">
      <alignment horizontal="center" wrapText="1"/>
    </xf>
    <xf numFmtId="0" fontId="3" fillId="0" borderId="47" xfId="0" applyFont="1" applyFill="1" applyBorder="1" applyAlignment="1">
      <alignment horizontal="center"/>
    </xf>
    <xf numFmtId="0" fontId="3" fillId="0" borderId="48" xfId="0" applyFont="1" applyFill="1" applyBorder="1" applyAlignment="1">
      <alignment horizontal="center" wrapText="1"/>
    </xf>
    <xf numFmtId="0" fontId="0" fillId="0" borderId="49" xfId="0" applyFont="1" applyFill="1" applyBorder="1" applyAlignment="1">
      <alignment horizontal="center"/>
    </xf>
    <xf numFmtId="0" fontId="0" fillId="0" borderId="46" xfId="0" applyFont="1" applyFill="1" applyBorder="1" applyAlignment="1">
      <alignment horizontal="center"/>
    </xf>
    <xf numFmtId="0" fontId="24" fillId="0" borderId="49" xfId="0" applyFont="1" applyFill="1" applyBorder="1" applyAlignment="1">
      <alignment horizontal="center"/>
    </xf>
    <xf numFmtId="0" fontId="24" fillId="0" borderId="16" xfId="0" applyFont="1" applyFill="1" applyBorder="1" applyAlignment="1">
      <alignment horizontal="center"/>
    </xf>
    <xf numFmtId="0" fontId="0" fillId="0" borderId="18" xfId="0" applyFont="1" applyFill="1" applyBorder="1" applyAlignment="1">
      <alignment horizontal="center"/>
    </xf>
    <xf numFmtId="4" fontId="3" fillId="0" borderId="0" xfId="0" applyNumberFormat="1" applyFont="1" applyFill="1" applyBorder="1"/>
    <xf numFmtId="165" fontId="3" fillId="0" borderId="0" xfId="0" applyNumberFormat="1" applyFont="1" applyFill="1" applyBorder="1"/>
    <xf numFmtId="0" fontId="0" fillId="0" borderId="0" xfId="0" applyFill="1" applyBorder="1"/>
    <xf numFmtId="4" fontId="0" fillId="0" borderId="0" xfId="0" applyNumberFormat="1" applyFill="1" applyBorder="1"/>
    <xf numFmtId="165" fontId="0" fillId="0" borderId="0" xfId="0" applyNumberFormat="1" applyFill="1" applyBorder="1"/>
    <xf numFmtId="0" fontId="5" fillId="0" borderId="0" xfId="0" applyFont="1" applyFill="1" applyBorder="1"/>
    <xf numFmtId="4" fontId="5" fillId="0" borderId="0" xfId="0" applyNumberFormat="1" applyFont="1" applyFill="1" applyBorder="1"/>
    <xf numFmtId="165" fontId="5" fillId="0" borderId="0" xfId="0" applyNumberFormat="1" applyFont="1" applyFill="1" applyBorder="1"/>
    <xf numFmtId="0" fontId="24" fillId="0" borderId="0" xfId="0" applyFont="1" applyFill="1" applyBorder="1" applyAlignment="1">
      <alignment horizontal="center"/>
    </xf>
    <xf numFmtId="0" fontId="0" fillId="0" borderId="0" xfId="0" applyFont="1"/>
    <xf numFmtId="0" fontId="0" fillId="7" borderId="25" xfId="0" applyFont="1" applyFill="1" applyBorder="1" applyAlignment="1">
      <alignment horizontal="center"/>
    </xf>
    <xf numFmtId="0" fontId="22" fillId="7" borderId="48" xfId="0" applyFont="1" applyFill="1" applyBorder="1" applyAlignment="1">
      <alignment horizontal="center"/>
    </xf>
    <xf numFmtId="0" fontId="0" fillId="7" borderId="18" xfId="0" applyFont="1" applyFill="1" applyBorder="1" applyAlignment="1">
      <alignment horizontal="center"/>
    </xf>
    <xf numFmtId="0" fontId="5" fillId="7" borderId="23" xfId="0" applyFont="1" applyFill="1" applyBorder="1" applyAlignment="1">
      <alignment horizontal="center"/>
    </xf>
    <xf numFmtId="0" fontId="21" fillId="0" borderId="0" xfId="0" applyFont="1" applyBorder="1" applyAlignment="1">
      <alignment horizontal="right" vertical="center"/>
    </xf>
    <xf numFmtId="0" fontId="21" fillId="20" borderId="1" xfId="0" applyFont="1" applyFill="1" applyBorder="1" applyAlignment="1">
      <alignment horizontal="left" vertical="center"/>
    </xf>
    <xf numFmtId="0" fontId="5" fillId="0" borderId="0" xfId="0" applyFont="1" applyAlignment="1">
      <alignment horizontal="center" wrapText="1"/>
    </xf>
    <xf numFmtId="0" fontId="4" fillId="0" borderId="0" xfId="0" applyFont="1"/>
    <xf numFmtId="37" fontId="4" fillId="0" borderId="0" xfId="1" applyNumberFormat="1" applyFont="1" applyFill="1"/>
    <xf numFmtId="166" fontId="4" fillId="0" borderId="0" xfId="0" applyNumberFormat="1" applyFont="1" applyFill="1"/>
    <xf numFmtId="2" fontId="4" fillId="0" borderId="0" xfId="0" applyNumberFormat="1" applyFont="1" applyFill="1"/>
    <xf numFmtId="39" fontId="4" fillId="0" borderId="0" xfId="1" applyNumberFormat="1" applyFont="1"/>
    <xf numFmtId="44" fontId="4" fillId="0" borderId="0" xfId="246" applyFont="1" applyFill="1"/>
    <xf numFmtId="0" fontId="3" fillId="0" borderId="1" xfId="0" applyFont="1" applyFill="1" applyBorder="1" applyAlignment="1">
      <alignment horizontal="center" wrapText="1"/>
    </xf>
    <xf numFmtId="0" fontId="0" fillId="0" borderId="1" xfId="0" applyFont="1" applyFill="1" applyBorder="1"/>
    <xf numFmtId="4" fontId="0" fillId="0" borderId="1" xfId="0" applyNumberFormat="1" applyFont="1" applyFill="1" applyBorder="1"/>
    <xf numFmtId="0" fontId="0" fillId="0" borderId="1" xfId="0" applyFont="1" applyBorder="1"/>
    <xf numFmtId="0" fontId="3" fillId="0" borderId="5" xfId="0" applyFont="1" applyFill="1" applyBorder="1"/>
    <xf numFmtId="0" fontId="3" fillId="0" borderId="6" xfId="0" applyFont="1" applyBorder="1" applyAlignment="1">
      <alignment horizontal="center" wrapText="1"/>
    </xf>
    <xf numFmtId="0" fontId="3" fillId="0" borderId="6" xfId="0" applyFont="1" applyFill="1" applyBorder="1" applyAlignment="1">
      <alignment horizontal="center" wrapText="1"/>
    </xf>
    <xf numFmtId="0" fontId="3" fillId="0" borderId="7" xfId="0" applyFont="1" applyBorder="1" applyAlignment="1">
      <alignment horizontal="center" wrapText="1"/>
    </xf>
    <xf numFmtId="0" fontId="3" fillId="0" borderId="50" xfId="0" applyFont="1" applyFill="1" applyBorder="1" applyAlignment="1">
      <alignment horizontal="center" wrapText="1"/>
    </xf>
    <xf numFmtId="0" fontId="0" fillId="0" borderId="0" xfId="0" applyFont="1" applyBorder="1"/>
    <xf numFmtId="0" fontId="3" fillId="0" borderId="1" xfId="0" applyFont="1" applyFill="1" applyBorder="1" applyAlignment="1">
      <alignment horizontal="left" wrapText="1"/>
    </xf>
    <xf numFmtId="0" fontId="0" fillId="0" borderId="0" xfId="0" applyFont="1" applyFill="1" applyBorder="1"/>
    <xf numFmtId="0" fontId="21" fillId="11" borderId="1" xfId="0" applyFont="1" applyFill="1" applyBorder="1" applyAlignment="1">
      <alignment horizontal="right" vertical="center"/>
    </xf>
    <xf numFmtId="166" fontId="21" fillId="11" borderId="1" xfId="0" applyNumberFormat="1" applyFont="1" applyFill="1" applyBorder="1" applyAlignment="1">
      <alignment horizontal="right" vertical="center"/>
    </xf>
    <xf numFmtId="0" fontId="21" fillId="12" borderId="1" xfId="0" applyNumberFormat="1" applyFont="1" applyFill="1" applyBorder="1" applyAlignment="1">
      <alignment horizontal="right" vertical="center"/>
    </xf>
    <xf numFmtId="0" fontId="0" fillId="12" borderId="1" xfId="0" applyFont="1" applyFill="1" applyBorder="1" applyAlignment="1">
      <alignment horizontal="right" vertical="center" wrapText="1"/>
    </xf>
    <xf numFmtId="0" fontId="4" fillId="2" borderId="1" xfId="0" applyFont="1" applyFill="1" applyBorder="1" applyAlignment="1">
      <alignment vertical="center" wrapText="1"/>
    </xf>
    <xf numFmtId="0" fontId="22" fillId="2" borderId="5" xfId="0" applyFont="1" applyFill="1" applyBorder="1" applyAlignment="1">
      <alignment vertical="center"/>
    </xf>
    <xf numFmtId="0" fontId="22" fillId="2" borderId="24" xfId="0" applyFont="1" applyFill="1" applyBorder="1" applyAlignment="1">
      <alignment horizontal="left" vertical="center"/>
    </xf>
    <xf numFmtId="0" fontId="22" fillId="0" borderId="1" xfId="0" applyFont="1" applyBorder="1" applyAlignment="1">
      <alignment vertical="center"/>
    </xf>
    <xf numFmtId="0" fontId="22"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vertical="center"/>
    </xf>
    <xf numFmtId="0" fontId="21" fillId="0" borderId="0" xfId="0" applyFont="1" applyAlignment="1">
      <alignment horizontal="left" vertical="center"/>
    </xf>
    <xf numFmtId="165" fontId="21" fillId="2" borderId="1" xfId="0" applyNumberFormat="1" applyFont="1" applyFill="1" applyBorder="1" applyAlignment="1">
      <alignment horizontal="left" vertical="center"/>
    </xf>
    <xf numFmtId="165" fontId="21" fillId="2" borderId="1" xfId="0" applyNumberFormat="1" applyFont="1" applyFill="1" applyBorder="1" applyAlignment="1">
      <alignment horizontal="left" vertical="center" wrapText="1"/>
    </xf>
    <xf numFmtId="0" fontId="4" fillId="7" borderId="1" xfId="0" applyFont="1" applyFill="1" applyBorder="1" applyAlignment="1">
      <alignment horizontal="right" vertical="center"/>
    </xf>
    <xf numFmtId="0" fontId="21" fillId="0" borderId="1" xfId="0" applyFont="1" applyBorder="1" applyAlignment="1">
      <alignment vertical="center"/>
    </xf>
    <xf numFmtId="165" fontId="21" fillId="2" borderId="41" xfId="0" applyNumberFormat="1" applyFont="1" applyFill="1" applyBorder="1" applyAlignment="1">
      <alignment horizontal="left" vertical="center"/>
    </xf>
    <xf numFmtId="165" fontId="21" fillId="2" borderId="7" xfId="0" applyNumberFormat="1" applyFont="1" applyFill="1" applyBorder="1" applyAlignment="1">
      <alignment horizontal="left" vertical="center"/>
    </xf>
    <xf numFmtId="0" fontId="22" fillId="0" borderId="0" xfId="0" applyFont="1" applyAlignment="1">
      <alignment horizontal="right" vertical="center"/>
    </xf>
    <xf numFmtId="167" fontId="22" fillId="15" borderId="0" xfId="1" applyNumberFormat="1" applyFont="1" applyFill="1" applyAlignment="1">
      <alignment vertical="center"/>
    </xf>
    <xf numFmtId="44" fontId="22" fillId="15" borderId="0" xfId="246" applyFont="1" applyFill="1" applyAlignment="1">
      <alignment vertical="center"/>
    </xf>
    <xf numFmtId="167" fontId="22" fillId="6" borderId="0" xfId="1" applyNumberFormat="1" applyFont="1" applyFill="1" applyAlignment="1">
      <alignment vertical="center"/>
    </xf>
    <xf numFmtId="44" fontId="22" fillId="6" borderId="0" xfId="246" applyFont="1" applyFill="1" applyAlignment="1">
      <alignment vertical="center"/>
    </xf>
    <xf numFmtId="2" fontId="22" fillId="8" borderId="0" xfId="0" applyNumberFormat="1" applyFont="1" applyFill="1" applyAlignment="1">
      <alignment vertical="center"/>
    </xf>
    <xf numFmtId="2" fontId="5" fillId="8" borderId="10" xfId="0" applyNumberFormat="1" applyFont="1" applyFill="1" applyBorder="1" applyAlignment="1">
      <alignment vertical="center"/>
    </xf>
    <xf numFmtId="2" fontId="5" fillId="8" borderId="11" xfId="0" applyNumberFormat="1" applyFont="1" applyFill="1" applyBorder="1" applyAlignment="1">
      <alignment vertical="center"/>
    </xf>
    <xf numFmtId="2" fontId="5" fillId="8" borderId="12" xfId="0" applyNumberFormat="1" applyFont="1" applyFill="1" applyBorder="1" applyAlignment="1">
      <alignment vertical="center"/>
    </xf>
    <xf numFmtId="0" fontId="5" fillId="4" borderId="1" xfId="0" applyFont="1" applyFill="1" applyBorder="1" applyAlignment="1">
      <alignment wrapText="1"/>
    </xf>
    <xf numFmtId="4" fontId="5" fillId="4" borderId="1" xfId="0" applyNumberFormat="1" applyFont="1" applyFill="1" applyBorder="1" applyAlignment="1">
      <alignment horizontal="center" wrapText="1"/>
    </xf>
    <xf numFmtId="165" fontId="5" fillId="4" borderId="1" xfId="0" applyNumberFormat="1" applyFont="1" applyFill="1" applyBorder="1" applyAlignment="1">
      <alignment horizontal="center" wrapText="1"/>
    </xf>
    <xf numFmtId="0" fontId="3" fillId="4" borderId="1" xfId="0" applyFont="1" applyFill="1" applyBorder="1" applyAlignment="1">
      <alignment horizontal="center" wrapText="1"/>
    </xf>
    <xf numFmtId="0" fontId="0" fillId="0" borderId="1" xfId="0" applyFont="1" applyFill="1" applyBorder="1" applyAlignment="1">
      <alignment horizontal="right"/>
    </xf>
    <xf numFmtId="43" fontId="0" fillId="0" borderId="0" xfId="0" applyNumberFormat="1" applyFont="1"/>
    <xf numFmtId="0" fontId="0" fillId="5" borderId="1" xfId="0" applyFont="1" applyFill="1" applyBorder="1" applyAlignment="1">
      <alignment horizontal="right"/>
    </xf>
    <xf numFmtId="0" fontId="3" fillId="5" borderId="1" xfId="0" applyFont="1" applyFill="1" applyBorder="1" applyAlignment="1">
      <alignment horizontal="right"/>
    </xf>
    <xf numFmtId="4" fontId="3" fillId="19" borderId="0" xfId="0" applyNumberFormat="1" applyFont="1" applyFill="1" applyBorder="1"/>
    <xf numFmtId="2" fontId="21" fillId="0" borderId="0" xfId="0" applyNumberFormat="1" applyFont="1" applyAlignment="1">
      <alignment vertical="center"/>
    </xf>
    <xf numFmtId="0" fontId="4" fillId="0" borderId="0" xfId="0" applyFont="1" applyBorder="1"/>
    <xf numFmtId="166" fontId="4" fillId="0" borderId="0" xfId="0" applyNumberFormat="1" applyFont="1" applyFill="1" applyBorder="1"/>
    <xf numFmtId="2" fontId="4" fillId="0" borderId="0" xfId="0" applyNumberFormat="1" applyFont="1" applyFill="1" applyBorder="1"/>
    <xf numFmtId="39" fontId="4" fillId="0" borderId="0" xfId="1" applyNumberFormat="1" applyFont="1" applyBorder="1"/>
    <xf numFmtId="166" fontId="5" fillId="0" borderId="54" xfId="0" applyNumberFormat="1" applyFont="1" applyBorder="1" applyAlignment="1">
      <alignment horizontal="right"/>
    </xf>
    <xf numFmtId="43" fontId="3" fillId="0" borderId="0" xfId="0" applyNumberFormat="1" applyFont="1"/>
    <xf numFmtId="0" fontId="0" fillId="19" borderId="0" xfId="0" applyFont="1" applyFill="1" applyBorder="1" applyAlignment="1">
      <alignment horizontal="center"/>
    </xf>
    <xf numFmtId="44" fontId="0" fillId="0" borderId="1" xfId="246" applyFont="1" applyFill="1" applyBorder="1"/>
    <xf numFmtId="0" fontId="3" fillId="0" borderId="5" xfId="0" applyFont="1" applyFill="1" applyBorder="1" applyAlignment="1">
      <alignment horizontal="center" wrapText="1"/>
    </xf>
    <xf numFmtId="43" fontId="0" fillId="0" borderId="1" xfId="1" applyFont="1" applyFill="1" applyBorder="1"/>
    <xf numFmtId="44" fontId="0" fillId="0" borderId="1" xfId="0" applyNumberFormat="1" applyFont="1" applyFill="1" applyBorder="1"/>
    <xf numFmtId="0" fontId="0" fillId="0" borderId="50" xfId="0" applyFont="1" applyFill="1" applyBorder="1" applyAlignment="1">
      <alignment horizontal="right"/>
    </xf>
    <xf numFmtId="167" fontId="0" fillId="0" borderId="0" xfId="1" applyNumberFormat="1" applyFont="1" applyFill="1" applyBorder="1"/>
    <xf numFmtId="166" fontId="0" fillId="0" borderId="0" xfId="0" applyNumberFormat="1" applyFont="1" applyFill="1" applyBorder="1"/>
    <xf numFmtId="2" fontId="0" fillId="0" borderId="0" xfId="0" applyNumberFormat="1" applyFont="1" applyFill="1" applyBorder="1"/>
    <xf numFmtId="43" fontId="0" fillId="0" borderId="0" xfId="0" applyNumberFormat="1" applyFont="1" applyFill="1" applyBorder="1"/>
    <xf numFmtId="166" fontId="0" fillId="0" borderId="51" xfId="0" applyNumberFormat="1" applyFont="1" applyFill="1" applyBorder="1"/>
    <xf numFmtId="0" fontId="0" fillId="0" borderId="52" xfId="0" applyFont="1" applyFill="1" applyBorder="1" applyAlignment="1">
      <alignment horizontal="right"/>
    </xf>
    <xf numFmtId="167" fontId="0" fillId="0" borderId="2" xfId="1" applyNumberFormat="1" applyFont="1" applyFill="1" applyBorder="1"/>
    <xf numFmtId="166" fontId="0" fillId="0" borderId="2" xfId="0" applyNumberFormat="1" applyFont="1" applyFill="1" applyBorder="1"/>
    <xf numFmtId="0" fontId="0" fillId="0" borderId="2" xfId="0" applyFont="1" applyFill="1" applyBorder="1"/>
    <xf numFmtId="2" fontId="0" fillId="0" borderId="2" xfId="0" applyNumberFormat="1" applyFont="1" applyFill="1" applyBorder="1"/>
    <xf numFmtId="43" fontId="0" fillId="0" borderId="2" xfId="0" applyNumberFormat="1" applyFont="1" applyFill="1" applyBorder="1"/>
    <xf numFmtId="166" fontId="0" fillId="0" borderId="53" xfId="0" applyNumberFormat="1" applyFont="1" applyFill="1" applyBorder="1"/>
    <xf numFmtId="44" fontId="0" fillId="0" borderId="0" xfId="246" applyFont="1" applyFill="1" applyBorder="1"/>
    <xf numFmtId="43" fontId="0" fillId="0" borderId="0" xfId="1" applyNumberFormat="1" applyFont="1" applyFill="1" applyBorder="1"/>
    <xf numFmtId="44" fontId="0" fillId="0" borderId="2" xfId="246" applyFont="1" applyFill="1" applyBorder="1"/>
    <xf numFmtId="43" fontId="0" fillId="0" borderId="2" xfId="1" applyNumberFormat="1" applyFont="1" applyFill="1" applyBorder="1"/>
    <xf numFmtId="0" fontId="0" fillId="0" borderId="0" xfId="0" applyFont="1" applyFill="1" applyBorder="1" applyAlignment="1">
      <alignment horizontal="right"/>
    </xf>
    <xf numFmtId="0" fontId="5" fillId="0" borderId="0" xfId="0" applyFont="1" applyFill="1" applyAlignment="1">
      <alignment horizontal="center" wrapText="1"/>
    </xf>
    <xf numFmtId="0" fontId="0" fillId="0" borderId="0" xfId="0" applyFont="1" applyFill="1"/>
    <xf numFmtId="4" fontId="0" fillId="0" borderId="0" xfId="0" applyNumberFormat="1" applyFont="1" applyFill="1" applyBorder="1"/>
    <xf numFmtId="43" fontId="0" fillId="0" borderId="0" xfId="1" applyFont="1" applyFill="1" applyBorder="1"/>
    <xf numFmtId="0" fontId="5" fillId="0" borderId="0" xfId="0" applyFont="1" applyFill="1" applyAlignment="1">
      <alignment wrapText="1"/>
    </xf>
    <xf numFmtId="39" fontId="4" fillId="0" borderId="0" xfId="1" applyNumberFormat="1" applyFont="1" applyFill="1"/>
    <xf numFmtId="37" fontId="4" fillId="0" borderId="0" xfId="0" applyNumberFormat="1" applyFont="1" applyBorder="1"/>
    <xf numFmtId="39" fontId="4" fillId="0" borderId="0" xfId="0" applyNumberFormat="1" applyFont="1" applyBorder="1"/>
    <xf numFmtId="44" fontId="4" fillId="0" borderId="0" xfId="0" applyNumberFormat="1" applyFont="1" applyBorder="1"/>
    <xf numFmtId="0" fontId="4" fillId="0" borderId="13" xfId="0" applyFont="1" applyFill="1" applyBorder="1"/>
    <xf numFmtId="37" fontId="4" fillId="0" borderId="14" xfId="1" applyNumberFormat="1" applyFont="1" applyFill="1" applyBorder="1"/>
    <xf numFmtId="166" fontId="4" fillId="0" borderId="14" xfId="0" applyNumberFormat="1" applyFont="1" applyFill="1" applyBorder="1"/>
    <xf numFmtId="0" fontId="4" fillId="0" borderId="14" xfId="0" applyFont="1" applyFill="1" applyBorder="1"/>
    <xf numFmtId="0" fontId="4" fillId="0" borderId="49" xfId="0" applyFont="1" applyFill="1" applyBorder="1"/>
    <xf numFmtId="37" fontId="4" fillId="0" borderId="0" xfId="1" applyNumberFormat="1" applyFont="1" applyFill="1" applyBorder="1"/>
    <xf numFmtId="0" fontId="4" fillId="0" borderId="16" xfId="0" applyFont="1" applyFill="1" applyBorder="1"/>
    <xf numFmtId="37" fontId="4" fillId="0" borderId="17" xfId="1" applyNumberFormat="1" applyFont="1" applyFill="1" applyBorder="1"/>
    <xf numFmtId="166" fontId="4" fillId="0" borderId="17" xfId="0" applyNumberFormat="1" applyFont="1" applyFill="1" applyBorder="1"/>
    <xf numFmtId="0" fontId="4" fillId="0" borderId="17" xfId="0" applyFont="1" applyFill="1" applyBorder="1"/>
    <xf numFmtId="0" fontId="4" fillId="0" borderId="13" xfId="0" applyFont="1" applyBorder="1"/>
    <xf numFmtId="0" fontId="4" fillId="0" borderId="49" xfId="0" applyFont="1" applyBorder="1"/>
    <xf numFmtId="2" fontId="4" fillId="0" borderId="14" xfId="0" applyNumberFormat="1" applyFont="1" applyFill="1" applyBorder="1"/>
    <xf numFmtId="39" fontId="4" fillId="0" borderId="14" xfId="1" applyNumberFormat="1" applyFont="1" applyBorder="1"/>
    <xf numFmtId="0" fontId="4" fillId="0" borderId="16" xfId="0" applyFont="1" applyBorder="1"/>
    <xf numFmtId="2" fontId="4" fillId="0" borderId="17" xfId="0" applyNumberFormat="1" applyFont="1" applyFill="1" applyBorder="1"/>
    <xf numFmtId="39" fontId="4" fillId="0" borderId="17" xfId="1" applyNumberFormat="1" applyFont="1" applyBorder="1"/>
    <xf numFmtId="44" fontId="21" fillId="0" borderId="0" xfId="246" applyFont="1" applyAlignment="1">
      <alignment vertical="center"/>
    </xf>
    <xf numFmtId="0" fontId="21" fillId="0" borderId="0" xfId="0" applyFont="1" applyFill="1" applyBorder="1" applyAlignment="1">
      <alignment horizontal="right" vertical="center"/>
    </xf>
    <xf numFmtId="167" fontId="21" fillId="0" borderId="0" xfId="1" applyNumberFormat="1" applyFont="1" applyAlignment="1">
      <alignment vertical="center"/>
    </xf>
    <xf numFmtId="0" fontId="21" fillId="20" borderId="1" xfId="0" applyFont="1" applyFill="1" applyBorder="1" applyAlignment="1">
      <alignment horizontal="center" vertical="center"/>
    </xf>
    <xf numFmtId="0" fontId="21" fillId="20" borderId="1" xfId="0" applyFont="1" applyFill="1" applyBorder="1" applyAlignment="1">
      <alignment horizontal="right" vertical="center"/>
    </xf>
    <xf numFmtId="165" fontId="21" fillId="20" borderId="1" xfId="0" applyNumberFormat="1" applyFont="1" applyFill="1" applyBorder="1" applyAlignment="1">
      <alignment horizontal="left" vertical="center"/>
    </xf>
    <xf numFmtId="0" fontId="0" fillId="20" borderId="1" xfId="0" applyFont="1" applyFill="1" applyBorder="1" applyAlignment="1">
      <alignment horizontal="right" vertical="center"/>
    </xf>
    <xf numFmtId="44" fontId="21" fillId="6" borderId="1" xfId="246" applyFont="1" applyFill="1" applyBorder="1" applyAlignment="1">
      <alignment horizontal="right" vertical="center"/>
    </xf>
    <xf numFmtId="44" fontId="21" fillId="0" borderId="0" xfId="0" applyNumberFormat="1" applyFont="1" applyAlignment="1">
      <alignment vertical="center"/>
    </xf>
    <xf numFmtId="166" fontId="0" fillId="0" borderId="0" xfId="0" applyNumberFormat="1" applyFont="1"/>
    <xf numFmtId="0" fontId="3" fillId="9" borderId="1" xfId="0" applyFont="1" applyFill="1" applyBorder="1" applyAlignment="1">
      <alignment horizontal="center" wrapText="1"/>
    </xf>
    <xf numFmtId="0" fontId="1" fillId="7" borderId="1" xfId="0" applyFont="1" applyFill="1" applyBorder="1" applyAlignment="1">
      <alignment horizontal="right" vertical="center"/>
    </xf>
    <xf numFmtId="0" fontId="0" fillId="7" borderId="1" xfId="0" applyFill="1" applyBorder="1" applyAlignment="1">
      <alignment horizontal="right" vertical="center"/>
    </xf>
    <xf numFmtId="0" fontId="3" fillId="7" borderId="1" xfId="0" applyFont="1" applyFill="1" applyBorder="1" applyAlignment="1">
      <alignment horizontal="center" vertical="center"/>
    </xf>
    <xf numFmtId="0" fontId="3" fillId="8" borderId="1" xfId="0" applyFont="1" applyFill="1" applyBorder="1" applyAlignment="1">
      <alignment wrapText="1"/>
    </xf>
    <xf numFmtId="1" fontId="0" fillId="8" borderId="1" xfId="0" applyNumberFormat="1" applyFont="1" applyFill="1" applyBorder="1"/>
    <xf numFmtId="0" fontId="0" fillId="8" borderId="1" xfId="0" applyFill="1" applyBorder="1"/>
    <xf numFmtId="0" fontId="5" fillId="6" borderId="1" xfId="0" applyFont="1" applyFill="1" applyBorder="1" applyAlignment="1">
      <alignment horizontal="center" wrapText="1"/>
    </xf>
    <xf numFmtId="0" fontId="27" fillId="0" borderId="0" xfId="0" applyFont="1" applyBorder="1" applyAlignment="1">
      <alignment horizontal="left"/>
    </xf>
    <xf numFmtId="0" fontId="27" fillId="0" borderId="0" xfId="0" applyFont="1" applyBorder="1" applyAlignment="1">
      <alignment horizontal="center" vertical="center" wrapText="1"/>
    </xf>
    <xf numFmtId="0" fontId="26" fillId="0" borderId="0" xfId="0" applyFont="1" applyBorder="1"/>
    <xf numFmtId="167" fontId="26" fillId="0" borderId="0" xfId="1" applyNumberFormat="1" applyFont="1" applyBorder="1"/>
    <xf numFmtId="44" fontId="26" fillId="0" borderId="0" xfId="246" applyFont="1" applyBorder="1"/>
    <xf numFmtId="43" fontId="26" fillId="0" borderId="0" xfId="1" applyFont="1" applyBorder="1"/>
    <xf numFmtId="0" fontId="21" fillId="20" borderId="3" xfId="0" applyFont="1" applyFill="1" applyBorder="1" applyAlignment="1">
      <alignment horizontal="right" vertical="center"/>
    </xf>
    <xf numFmtId="168" fontId="0" fillId="11" borderId="3" xfId="1" applyNumberFormat="1" applyFont="1" applyFill="1" applyBorder="1" applyAlignment="1">
      <alignment horizontal="right" vertical="center"/>
    </xf>
    <xf numFmtId="166" fontId="21" fillId="20" borderId="3" xfId="0" applyNumberFormat="1" applyFont="1" applyFill="1" applyBorder="1" applyAlignment="1">
      <alignment horizontal="right" vertical="center"/>
    </xf>
    <xf numFmtId="44" fontId="21" fillId="20" borderId="0" xfId="246" applyFont="1" applyFill="1" applyAlignment="1">
      <alignment vertical="center"/>
    </xf>
    <xf numFmtId="44" fontId="22" fillId="0" borderId="0" xfId="246" applyFont="1" applyFill="1" applyAlignment="1">
      <alignment vertical="center"/>
    </xf>
    <xf numFmtId="0" fontId="0" fillId="21" borderId="0" xfId="0" applyFill="1"/>
    <xf numFmtId="0" fontId="0" fillId="21" borderId="0" xfId="0" applyFont="1" applyFill="1"/>
    <xf numFmtId="0" fontId="0" fillId="21" borderId="0" xfId="0" applyFont="1" applyFill="1" applyBorder="1"/>
    <xf numFmtId="0" fontId="0" fillId="21" borderId="0" xfId="0" applyFill="1" applyAlignment="1">
      <alignment wrapText="1"/>
    </xf>
    <xf numFmtId="0" fontId="0" fillId="21" borderId="0" xfId="0" applyFill="1" applyAlignment="1"/>
    <xf numFmtId="0" fontId="4" fillId="21" borderId="2" xfId="0" applyFont="1" applyFill="1" applyBorder="1"/>
    <xf numFmtId="0" fontId="0" fillId="21" borderId="2" xfId="0" applyFill="1" applyBorder="1"/>
    <xf numFmtId="0" fontId="22" fillId="12" borderId="1" xfId="0" applyFont="1" applyFill="1" applyBorder="1" applyAlignment="1">
      <alignment horizontal="center" vertical="top"/>
    </xf>
    <xf numFmtId="0" fontId="22" fillId="12" borderId="1" xfId="0" applyFont="1" applyFill="1" applyBorder="1" applyAlignment="1">
      <alignment horizontal="center" vertical="top" wrapText="1"/>
    </xf>
    <xf numFmtId="0" fontId="22" fillId="2" borderId="1" xfId="0" applyFont="1" applyFill="1" applyBorder="1" applyAlignment="1">
      <alignment horizontal="center" vertical="top" wrapText="1"/>
    </xf>
    <xf numFmtId="0" fontId="22" fillId="7" borderId="1" xfId="0" applyFont="1" applyFill="1" applyBorder="1" applyAlignment="1">
      <alignment horizontal="center" vertical="top" wrapText="1"/>
    </xf>
    <xf numFmtId="0" fontId="22" fillId="11" borderId="1" xfId="0" applyFont="1" applyFill="1" applyBorder="1" applyAlignment="1">
      <alignment horizontal="center" vertical="top" wrapText="1"/>
    </xf>
    <xf numFmtId="0" fontId="22" fillId="6" borderId="1" xfId="0" applyFont="1" applyFill="1" applyBorder="1" applyAlignment="1">
      <alignment horizontal="center" vertical="top" wrapText="1"/>
    </xf>
    <xf numFmtId="0" fontId="21" fillId="0" borderId="1" xfId="0" applyFont="1" applyBorder="1" applyAlignment="1">
      <alignment horizontal="right" vertical="top" wrapText="1"/>
    </xf>
    <xf numFmtId="0" fontId="22" fillId="8" borderId="1" xfId="0" applyFont="1" applyFill="1" applyBorder="1" applyAlignment="1">
      <alignment horizontal="right" vertical="top" wrapText="1"/>
    </xf>
    <xf numFmtId="0" fontId="0" fillId="0" borderId="31" xfId="0" applyFont="1" applyFill="1" applyBorder="1"/>
    <xf numFmtId="39" fontId="0" fillId="0" borderId="1" xfId="1" applyNumberFormat="1" applyFont="1" applyFill="1" applyBorder="1"/>
    <xf numFmtId="39" fontId="2" fillId="0" borderId="1" xfId="1" applyNumberFormat="1" applyFont="1" applyFill="1" applyBorder="1" applyAlignment="1">
      <alignment horizontal="center" wrapText="1"/>
    </xf>
    <xf numFmtId="3" fontId="0" fillId="0" borderId="1" xfId="0" applyNumberFormat="1" applyFont="1" applyBorder="1"/>
    <xf numFmtId="3" fontId="0" fillId="0" borderId="1" xfId="1" applyNumberFormat="1" applyFont="1" applyBorder="1"/>
    <xf numFmtId="3" fontId="0" fillId="0" borderId="1" xfId="0" applyNumberFormat="1" applyFont="1" applyFill="1" applyBorder="1"/>
    <xf numFmtId="3" fontId="0" fillId="0" borderId="0" xfId="0" applyNumberFormat="1" applyFont="1" applyFill="1" applyBorder="1"/>
    <xf numFmtId="43" fontId="0" fillId="0" borderId="0" xfId="0" applyNumberFormat="1" applyFont="1" applyFill="1" applyBorder="1" applyAlignment="1">
      <alignment horizontal="center"/>
    </xf>
    <xf numFmtId="167" fontId="2" fillId="0" borderId="0" xfId="1" applyNumberFormat="1" applyFont="1" applyFill="1" applyBorder="1"/>
    <xf numFmtId="166" fontId="2" fillId="0" borderId="0" xfId="246" applyNumberFormat="1" applyFont="1" applyFill="1" applyBorder="1"/>
    <xf numFmtId="3" fontId="2" fillId="0" borderId="0" xfId="1" applyNumberFormat="1" applyFont="1" applyFill="1" applyBorder="1"/>
    <xf numFmtId="43" fontId="2" fillId="0" borderId="0" xfId="1" applyNumberFormat="1" applyFont="1" applyFill="1" applyBorder="1"/>
    <xf numFmtId="44" fontId="2" fillId="0" borderId="0" xfId="246" applyFont="1" applyFill="1" applyBorder="1"/>
    <xf numFmtId="44" fontId="0" fillId="0" borderId="24" xfId="246" applyFont="1" applyFill="1" applyBorder="1"/>
    <xf numFmtId="0" fontId="0" fillId="0" borderId="50" xfId="0" applyFont="1" applyFill="1" applyBorder="1"/>
    <xf numFmtId="44" fontId="0" fillId="0" borderId="51" xfId="246" applyFont="1" applyFill="1" applyBorder="1"/>
    <xf numFmtId="0" fontId="0" fillId="0" borderId="55" xfId="0" applyFont="1" applyFill="1" applyBorder="1" applyAlignment="1">
      <alignment horizontal="right"/>
    </xf>
    <xf numFmtId="167" fontId="0" fillId="0" borderId="24" xfId="1" applyNumberFormat="1" applyFont="1" applyFill="1" applyBorder="1"/>
    <xf numFmtId="43" fontId="0" fillId="0" borderId="24" xfId="0" applyNumberFormat="1" applyFont="1" applyFill="1" applyBorder="1"/>
    <xf numFmtId="166" fontId="0" fillId="0" borderId="56" xfId="0" applyNumberFormat="1" applyFont="1" applyFill="1" applyBorder="1"/>
    <xf numFmtId="0" fontId="3" fillId="0" borderId="5" xfId="0" applyFont="1" applyFill="1" applyBorder="1" applyAlignment="1">
      <alignment horizontal="right"/>
    </xf>
    <xf numFmtId="167" fontId="3" fillId="0" borderId="6" xfId="1" applyNumberFormat="1" applyFont="1" applyBorder="1"/>
    <xf numFmtId="44" fontId="3" fillId="0" borderId="6" xfId="246" applyFont="1" applyBorder="1"/>
    <xf numFmtId="43" fontId="3" fillId="0" borderId="6" xfId="1" applyNumberFormat="1" applyFont="1" applyFill="1" applyBorder="1"/>
    <xf numFmtId="44" fontId="3" fillId="0" borderId="7" xfId="246" applyFont="1" applyFill="1" applyBorder="1"/>
    <xf numFmtId="0" fontId="3" fillId="0" borderId="7" xfId="0" applyFont="1" applyFill="1" applyBorder="1" applyAlignment="1">
      <alignment horizontal="center" wrapText="1"/>
    </xf>
    <xf numFmtId="0" fontId="5" fillId="0" borderId="0" xfId="0" applyFont="1" applyFill="1" applyBorder="1" applyAlignment="1">
      <alignment wrapText="1"/>
    </xf>
    <xf numFmtId="0" fontId="5" fillId="0" borderId="0" xfId="0" applyFont="1" applyFill="1" applyBorder="1" applyAlignment="1">
      <alignment horizontal="center" wrapText="1"/>
    </xf>
    <xf numFmtId="0" fontId="5" fillId="0" borderId="0" xfId="0" applyFont="1" applyBorder="1" applyAlignment="1">
      <alignment horizontal="center" vertical="center" wrapText="1"/>
    </xf>
    <xf numFmtId="0" fontId="29" fillId="0" borderId="0" xfId="0" applyFont="1" applyFill="1" applyBorder="1"/>
    <xf numFmtId="166" fontId="29" fillId="0" borderId="0" xfId="0" applyNumberFormat="1" applyFont="1" applyFill="1" applyBorder="1" applyAlignment="1">
      <alignment horizontal="right"/>
    </xf>
    <xf numFmtId="2" fontId="29" fillId="0" borderId="0" xfId="0" applyNumberFormat="1" applyFont="1" applyFill="1" applyBorder="1"/>
    <xf numFmtId="166" fontId="30" fillId="0" borderId="54" xfId="0" applyNumberFormat="1" applyFont="1" applyBorder="1" applyAlignment="1">
      <alignment horizontal="right"/>
    </xf>
    <xf numFmtId="43" fontId="28" fillId="0" borderId="0" xfId="0" applyNumberFormat="1" applyFont="1"/>
    <xf numFmtId="0" fontId="3" fillId="22" borderId="5" xfId="0" applyFont="1" applyFill="1" applyBorder="1" applyAlignment="1">
      <alignment horizontal="center" wrapText="1"/>
    </xf>
    <xf numFmtId="39" fontId="0" fillId="22" borderId="1" xfId="1" applyNumberFormat="1" applyFont="1" applyFill="1" applyBorder="1"/>
    <xf numFmtId="39" fontId="2" fillId="22" borderId="1" xfId="1" applyNumberFormat="1" applyFont="1" applyFill="1" applyBorder="1" applyAlignment="1">
      <alignment horizontal="center" wrapText="1"/>
    </xf>
    <xf numFmtId="0" fontId="3" fillId="7" borderId="1" xfId="0" applyFont="1" applyFill="1" applyBorder="1" applyAlignment="1">
      <alignment horizontal="center" wrapText="1"/>
    </xf>
    <xf numFmtId="44" fontId="0" fillId="7" borderId="1" xfId="0" applyNumberFormat="1" applyFont="1" applyFill="1" applyBorder="1"/>
    <xf numFmtId="44" fontId="0" fillId="7" borderId="1" xfId="246" applyFont="1" applyFill="1" applyBorder="1"/>
    <xf numFmtId="0" fontId="3" fillId="22" borderId="1" xfId="0" applyFont="1" applyFill="1" applyBorder="1" applyAlignment="1">
      <alignment horizontal="center" wrapText="1"/>
    </xf>
    <xf numFmtId="0" fontId="3" fillId="15" borderId="7" xfId="0" applyFont="1" applyFill="1" applyBorder="1" applyAlignment="1">
      <alignment horizontal="center" wrapText="1"/>
    </xf>
    <xf numFmtId="166" fontId="0" fillId="15" borderId="51" xfId="0" applyNumberFormat="1" applyFont="1" applyFill="1" applyBorder="1"/>
    <xf numFmtId="166" fontId="0" fillId="15" borderId="53" xfId="0" applyNumberFormat="1" applyFont="1" applyFill="1" applyBorder="1"/>
    <xf numFmtId="0" fontId="3" fillId="15" borderId="6" xfId="0" applyFont="1" applyFill="1" applyBorder="1" applyAlignment="1">
      <alignment horizontal="center" wrapText="1"/>
    </xf>
    <xf numFmtId="2" fontId="0" fillId="15" borderId="0" xfId="0" applyNumberFormat="1" applyFont="1" applyFill="1" applyBorder="1"/>
    <xf numFmtId="2" fontId="0" fillId="15" borderId="2" xfId="0" applyNumberFormat="1" applyFont="1" applyFill="1" applyBorder="1"/>
    <xf numFmtId="0" fontId="5" fillId="21" borderId="0" xfId="0" applyFont="1" applyFill="1" applyAlignment="1">
      <alignment horizontal="center" wrapText="1"/>
    </xf>
    <xf numFmtId="39" fontId="4" fillId="21" borderId="0" xfId="1" applyNumberFormat="1" applyFont="1" applyFill="1"/>
    <xf numFmtId="44" fontId="4" fillId="21" borderId="0" xfId="246" applyFont="1" applyFill="1"/>
    <xf numFmtId="44" fontId="4" fillId="21" borderId="15" xfId="246" applyFont="1" applyFill="1" applyBorder="1"/>
    <xf numFmtId="44" fontId="4" fillId="21" borderId="46" xfId="246" applyFont="1" applyFill="1" applyBorder="1"/>
    <xf numFmtId="44" fontId="4" fillId="21" borderId="18" xfId="246" applyFont="1" applyFill="1" applyBorder="1"/>
    <xf numFmtId="0" fontId="5" fillId="21" borderId="0" xfId="0" applyFont="1" applyFill="1" applyBorder="1" applyAlignment="1">
      <alignment horizontal="center" vertical="center" wrapText="1"/>
    </xf>
    <xf numFmtId="2" fontId="4" fillId="21" borderId="0" xfId="0" applyNumberFormat="1" applyFont="1" applyFill="1"/>
    <xf numFmtId="2" fontId="4" fillId="21" borderId="15" xfId="0" applyNumberFormat="1" applyFont="1" applyFill="1" applyBorder="1"/>
    <xf numFmtId="2" fontId="4" fillId="21" borderId="46" xfId="0" applyNumberFormat="1" applyFont="1" applyFill="1" applyBorder="1"/>
    <xf numFmtId="2" fontId="4" fillId="21" borderId="18" xfId="0" applyNumberFormat="1" applyFont="1" applyFill="1" applyBorder="1"/>
    <xf numFmtId="2" fontId="4" fillId="21" borderId="0" xfId="0" applyNumberFormat="1" applyFont="1" applyFill="1" applyBorder="1"/>
    <xf numFmtId="0" fontId="3" fillId="7" borderId="7" xfId="0" applyFont="1" applyFill="1" applyBorder="1" applyAlignment="1">
      <alignment horizontal="center" wrapText="1"/>
    </xf>
    <xf numFmtId="166" fontId="0" fillId="7" borderId="51" xfId="0" applyNumberFormat="1" applyFont="1" applyFill="1" applyBorder="1"/>
    <xf numFmtId="166" fontId="0" fillId="7" borderId="53" xfId="0" applyNumberFormat="1" applyFont="1" applyFill="1" applyBorder="1"/>
    <xf numFmtId="44" fontId="3" fillId="7" borderId="7" xfId="246" applyFont="1" applyFill="1" applyBorder="1"/>
    <xf numFmtId="0" fontId="3" fillId="7" borderId="6" xfId="0" applyFont="1" applyFill="1" applyBorder="1" applyAlignment="1">
      <alignment horizontal="center" wrapText="1"/>
    </xf>
    <xf numFmtId="43" fontId="0" fillId="7" borderId="24" xfId="1" applyNumberFormat="1" applyFont="1" applyFill="1" applyBorder="1"/>
    <xf numFmtId="43" fontId="0" fillId="7" borderId="0" xfId="1" applyNumberFormat="1" applyFont="1" applyFill="1" applyBorder="1"/>
    <xf numFmtId="43" fontId="3" fillId="7" borderId="6" xfId="1" applyNumberFormat="1" applyFont="1" applyFill="1" applyBorder="1"/>
    <xf numFmtId="44" fontId="0" fillId="15" borderId="51" xfId="246" applyFont="1" applyFill="1" applyBorder="1"/>
    <xf numFmtId="44" fontId="3" fillId="15" borderId="7" xfId="246" applyFont="1" applyFill="1" applyBorder="1"/>
    <xf numFmtId="4" fontId="0" fillId="15" borderId="0" xfId="0" applyNumberFormat="1" applyFont="1" applyFill="1" applyBorder="1"/>
    <xf numFmtId="43" fontId="2" fillId="15" borderId="0" xfId="1" applyNumberFormat="1" applyFont="1" applyFill="1" applyBorder="1"/>
    <xf numFmtId="43" fontId="3" fillId="15" borderId="6" xfId="1" applyNumberFormat="1" applyFont="1" applyFill="1" applyBorder="1"/>
    <xf numFmtId="0" fontId="28" fillId="15" borderId="0" xfId="0" applyFont="1" applyFill="1"/>
    <xf numFmtId="0" fontId="0" fillId="15" borderId="0" xfId="0" applyFont="1" applyFill="1"/>
    <xf numFmtId="4" fontId="3" fillId="0" borderId="1" xfId="0" applyNumberFormat="1" applyFont="1" applyBorder="1" applyAlignment="1">
      <alignment horizontal="center" wrapText="1"/>
    </xf>
    <xf numFmtId="4" fontId="0" fillId="12" borderId="1" xfId="0" applyNumberFormat="1" applyFont="1" applyFill="1" applyBorder="1"/>
    <xf numFmtId="4" fontId="3" fillId="0" borderId="1" xfId="0" applyNumberFormat="1" applyFont="1" applyFill="1" applyBorder="1" applyAlignment="1">
      <alignment wrapText="1"/>
    </xf>
    <xf numFmtId="4" fontId="4" fillId="12" borderId="1" xfId="0" applyNumberFormat="1" applyFont="1" applyFill="1" applyBorder="1"/>
    <xf numFmtId="4" fontId="3" fillId="12" borderId="1" xfId="0" applyNumberFormat="1" applyFont="1" applyFill="1" applyBorder="1"/>
    <xf numFmtId="0" fontId="27" fillId="0" borderId="55" xfId="0" applyFont="1" applyBorder="1" applyAlignment="1">
      <alignment horizontal="left" wrapText="1"/>
    </xf>
    <xf numFmtId="0" fontId="27" fillId="0" borderId="24" xfId="0" applyFont="1" applyBorder="1" applyAlignment="1">
      <alignment horizontal="center" wrapText="1"/>
    </xf>
    <xf numFmtId="0" fontId="27" fillId="0" borderId="56" xfId="0" applyFont="1" applyBorder="1" applyAlignment="1">
      <alignment horizontal="center" wrapText="1"/>
    </xf>
    <xf numFmtId="0" fontId="26" fillId="0" borderId="50" xfId="0" applyFont="1" applyBorder="1"/>
    <xf numFmtId="3" fontId="26" fillId="0" borderId="0" xfId="1" applyNumberFormat="1" applyFont="1" applyBorder="1"/>
    <xf numFmtId="44" fontId="26" fillId="0" borderId="51" xfId="246" applyFont="1" applyBorder="1"/>
    <xf numFmtId="0" fontId="26" fillId="0" borderId="52" xfId="0" applyFont="1" applyBorder="1"/>
    <xf numFmtId="3" fontId="26" fillId="0" borderId="2" xfId="0" applyNumberFormat="1" applyFont="1" applyBorder="1"/>
    <xf numFmtId="44" fontId="26" fillId="0" borderId="2" xfId="246" applyFont="1" applyBorder="1"/>
    <xf numFmtId="0" fontId="26" fillId="0" borderId="2" xfId="0" applyFont="1" applyBorder="1"/>
    <xf numFmtId="44" fontId="26" fillId="0" borderId="53" xfId="246" applyFont="1" applyBorder="1"/>
    <xf numFmtId="44" fontId="22" fillId="7" borderId="10" xfId="0" applyNumberFormat="1" applyFont="1" applyFill="1" applyBorder="1" applyAlignment="1">
      <alignment horizontal="center"/>
    </xf>
    <xf numFmtId="44" fontId="22" fillId="7" borderId="11" xfId="0" applyNumberFormat="1" applyFont="1" applyFill="1" applyBorder="1" applyAlignment="1">
      <alignment horizontal="center"/>
    </xf>
    <xf numFmtId="44" fontId="22" fillId="7" borderId="12" xfId="0" applyNumberFormat="1" applyFont="1" applyFill="1" applyBorder="1" applyAlignment="1">
      <alignment horizontal="center"/>
    </xf>
    <xf numFmtId="0" fontId="25" fillId="7" borderId="10" xfId="0" applyFont="1" applyFill="1" applyBorder="1" applyAlignment="1">
      <alignment horizontal="center"/>
    </xf>
    <xf numFmtId="0" fontId="25" fillId="7" borderId="11" xfId="0" applyFont="1" applyFill="1" applyBorder="1" applyAlignment="1">
      <alignment horizontal="center"/>
    </xf>
    <xf numFmtId="0" fontId="25" fillId="7" borderId="12" xfId="0" applyFont="1" applyFill="1" applyBorder="1" applyAlignment="1">
      <alignment horizontal="center"/>
    </xf>
    <xf numFmtId="0" fontId="22" fillId="8" borderId="1" xfId="0" applyFont="1" applyFill="1" applyBorder="1" applyAlignment="1">
      <alignment horizontal="center" vertical="center"/>
    </xf>
    <xf numFmtId="0" fontId="22" fillId="12" borderId="5" xfId="0" applyFont="1" applyFill="1" applyBorder="1" applyAlignment="1">
      <alignment horizontal="center" vertical="center"/>
    </xf>
    <xf numFmtId="0" fontId="22" fillId="12" borderId="7" xfId="0" applyFont="1" applyFill="1" applyBorder="1" applyAlignment="1">
      <alignment horizontal="center" vertical="center"/>
    </xf>
    <xf numFmtId="0" fontId="22" fillId="11" borderId="5" xfId="0" applyFont="1" applyFill="1" applyBorder="1" applyAlignment="1">
      <alignment horizontal="center" vertical="center"/>
    </xf>
    <xf numFmtId="0" fontId="22" fillId="11" borderId="6" xfId="0" applyFont="1" applyFill="1" applyBorder="1" applyAlignment="1">
      <alignment horizontal="center" vertical="center"/>
    </xf>
    <xf numFmtId="0" fontId="22" fillId="11" borderId="7" xfId="0" applyFont="1" applyFill="1" applyBorder="1" applyAlignment="1">
      <alignment horizontal="center" vertical="center"/>
    </xf>
    <xf numFmtId="0" fontId="22" fillId="6" borderId="5"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7" xfId="0" applyFont="1" applyFill="1" applyBorder="1" applyAlignment="1">
      <alignment horizontal="center" vertical="center"/>
    </xf>
    <xf numFmtId="0" fontId="22" fillId="7" borderId="6" xfId="0" applyFont="1" applyFill="1" applyBorder="1" applyAlignment="1">
      <alignment horizontal="center" vertical="center"/>
    </xf>
    <xf numFmtId="0" fontId="22" fillId="7" borderId="7" xfId="0" applyFont="1" applyFill="1" applyBorder="1" applyAlignment="1">
      <alignment horizontal="center" vertical="center"/>
    </xf>
    <xf numFmtId="0" fontId="3" fillId="7" borderId="1" xfId="0" applyFont="1" applyFill="1" applyBorder="1" applyAlignment="1">
      <alignment horizontal="center"/>
    </xf>
    <xf numFmtId="0" fontId="3" fillId="6" borderId="1" xfId="0" applyFont="1" applyFill="1" applyBorder="1" applyAlignment="1">
      <alignment horizontal="center"/>
    </xf>
    <xf numFmtId="0" fontId="3" fillId="8" borderId="1" xfId="0" applyFont="1" applyFill="1" applyBorder="1" applyAlignment="1">
      <alignment horizontal="center"/>
    </xf>
    <xf numFmtId="0" fontId="4" fillId="2" borderId="2" xfId="0" applyFont="1" applyFill="1" applyBorder="1" applyAlignment="1">
      <alignment horizontal="center"/>
    </xf>
    <xf numFmtId="0" fontId="0" fillId="0" borderId="1" xfId="0" applyBorder="1" applyAlignment="1">
      <alignment horizontal="center" vertical="center" wrapText="1"/>
    </xf>
    <xf numFmtId="0" fontId="3" fillId="0" borderId="2" xfId="0" applyFont="1" applyBorder="1" applyAlignment="1"/>
    <xf numFmtId="0" fontId="10" fillId="0" borderId="10" xfId="3" applyFont="1" applyBorder="1" applyAlignment="1">
      <alignment horizontal="center"/>
    </xf>
    <xf numFmtId="0" fontId="10" fillId="0" borderId="11" xfId="3" applyFont="1" applyBorder="1" applyAlignment="1">
      <alignment horizontal="center"/>
    </xf>
    <xf numFmtId="0" fontId="10" fillId="0" borderId="12" xfId="3" applyFont="1" applyBorder="1" applyAlignment="1">
      <alignment horizontal="center"/>
    </xf>
    <xf numFmtId="0" fontId="12" fillId="0" borderId="10" xfId="3" applyFont="1" applyBorder="1" applyAlignment="1">
      <alignment horizontal="center"/>
    </xf>
    <xf numFmtId="0" fontId="12" fillId="0" borderId="11" xfId="3" applyFont="1" applyBorder="1" applyAlignment="1">
      <alignment horizontal="center"/>
    </xf>
    <xf numFmtId="0" fontId="12" fillId="0" borderId="12" xfId="3" applyFont="1" applyBorder="1" applyAlignment="1">
      <alignment horizontal="center"/>
    </xf>
    <xf numFmtId="0" fontId="10" fillId="0" borderId="10" xfId="3" applyFont="1" applyFill="1" applyBorder="1" applyAlignment="1">
      <alignment horizontal="right" vertical="center"/>
    </xf>
    <xf numFmtId="0" fontId="10" fillId="0" borderId="11" xfId="3" applyFont="1" applyFill="1" applyBorder="1" applyAlignment="1">
      <alignment horizontal="right" vertical="center"/>
    </xf>
    <xf numFmtId="0" fontId="12" fillId="0" borderId="10" xfId="3" applyFont="1" applyBorder="1" applyAlignment="1"/>
    <xf numFmtId="0" fontId="12" fillId="0" borderId="11" xfId="3" applyFont="1" applyBorder="1" applyAlignment="1"/>
    <xf numFmtId="0" fontId="12" fillId="0" borderId="12" xfId="3" applyFont="1" applyBorder="1" applyAlignment="1"/>
    <xf numFmtId="0" fontId="10" fillId="0" borderId="10" xfId="3" applyFont="1" applyFill="1" applyBorder="1" applyAlignment="1">
      <alignment horizontal="right"/>
    </xf>
    <xf numFmtId="0" fontId="10" fillId="0" borderId="11" xfId="3" applyFont="1" applyFill="1" applyBorder="1" applyAlignment="1">
      <alignment horizontal="right"/>
    </xf>
    <xf numFmtId="0" fontId="10" fillId="0" borderId="10" xfId="3" applyFont="1" applyBorder="1" applyAlignment="1">
      <alignment horizontal="center" vertical="center"/>
    </xf>
    <xf numFmtId="0" fontId="10" fillId="0" borderId="11" xfId="3" applyFont="1" applyBorder="1" applyAlignment="1">
      <alignment horizontal="center" vertical="center"/>
    </xf>
    <xf numFmtId="0" fontId="10" fillId="0" borderId="12" xfId="3" applyFont="1" applyBorder="1" applyAlignment="1">
      <alignment horizontal="center" vertical="center"/>
    </xf>
    <xf numFmtId="0" fontId="12" fillId="0" borderId="10" xfId="3" applyFont="1" applyBorder="1" applyAlignment="1">
      <alignment horizontal="center" vertical="center"/>
    </xf>
    <xf numFmtId="0" fontId="12" fillId="0" borderId="11" xfId="3" applyFont="1" applyBorder="1" applyAlignment="1">
      <alignment horizontal="center" vertical="center"/>
    </xf>
    <xf numFmtId="0" fontId="12" fillId="0" borderId="12" xfId="3" applyFont="1" applyBorder="1" applyAlignment="1">
      <alignment horizontal="center" vertical="center"/>
    </xf>
    <xf numFmtId="49" fontId="12" fillId="0" borderId="10" xfId="3" applyNumberFormat="1" applyFont="1" applyBorder="1" applyAlignment="1">
      <alignment horizontal="center"/>
    </xf>
    <xf numFmtId="49" fontId="12" fillId="0" borderId="11" xfId="3" applyNumberFormat="1" applyFont="1" applyBorder="1" applyAlignment="1">
      <alignment horizontal="center"/>
    </xf>
    <xf numFmtId="49" fontId="12" fillId="0" borderId="12" xfId="3" applyNumberFormat="1" applyFont="1" applyBorder="1" applyAlignment="1">
      <alignment horizontal="center"/>
    </xf>
    <xf numFmtId="0" fontId="9" fillId="10" borderId="9" xfId="2" applyFont="1" applyFill="1" applyBorder="1" applyAlignment="1">
      <alignment horizontal="center" wrapText="1"/>
    </xf>
  </cellXfs>
  <cellStyles count="579">
    <cellStyle name="Comma" xfId="1" builtinId="3"/>
    <cellStyle name="Currency" xfId="246" builtinId="4"/>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Input" xfId="5"/>
    <cellStyle name="Normal" xfId="0" builtinId="0"/>
    <cellStyle name="Normal 2" xfId="2"/>
    <cellStyle name="Normal 3" xfId="4"/>
    <cellStyle name="Normal_TwnCliftonPark" xfId="3"/>
  </cellStyles>
  <dxfs count="54">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Calibri"/>
        <scheme val="minor"/>
      </font>
      <numFmt numFmtId="7" formatCode="#,##0.00_);\(#,##0.00\)"/>
      <fill>
        <patternFill patternType="solid">
          <fgColor indexed="64"/>
          <bgColor theme="3" tint="0.79998168889431442"/>
        </patternFill>
      </fill>
    </dxf>
    <dxf>
      <font>
        <b/>
        <i val="0"/>
        <strike val="0"/>
        <condense val="0"/>
        <extend val="0"/>
        <outline val="0"/>
        <shadow val="0"/>
        <u val="none"/>
        <vertAlign val="baseline"/>
        <sz val="11"/>
        <color theme="1"/>
        <name val="Calibri"/>
        <scheme val="minor"/>
      </font>
      <numFmt numFmtId="35" formatCode="_(* #,##0.00_);_(* \(#,##0.00\);_(* &quot;-&quot;??_);_(@_)"/>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dxf>
    <dxf>
      <font>
        <b/>
        <i val="0"/>
        <strike val="0"/>
        <condense val="0"/>
        <extend val="0"/>
        <outline val="0"/>
        <shadow val="0"/>
        <u val="none"/>
        <vertAlign val="baseline"/>
        <sz val="11"/>
        <color auto="1"/>
        <name val="Calibri"/>
        <scheme val="minor"/>
      </font>
      <numFmt numFmtId="166" formatCode="_([$$-409]* #,##0.00_);_([$$-409]* \(#,##0.00\);_([$$-409]* &quot;-&quot;??_);_(@_)"/>
      <alignment horizontal="right" vertical="bottom" textRotation="0" wrapText="0" indent="0" justifyLastLine="0" shrinkToFit="0" readingOrder="0"/>
      <border diagonalUp="0" diagonalDown="0" outline="0">
        <left/>
        <right/>
        <top style="thin">
          <color theme="7"/>
        </top>
        <bottom style="thin">
          <color theme="7"/>
        </bottom>
      </border>
    </dxf>
    <dxf>
      <font>
        <b val="0"/>
        <i val="0"/>
        <strike val="0"/>
        <condense val="0"/>
        <extend val="0"/>
        <outline val="0"/>
        <shadow val="0"/>
        <u val="none"/>
        <vertAlign val="baseline"/>
        <sz val="11"/>
        <color auto="1"/>
        <name val="Calibri"/>
        <scheme val="minor"/>
      </font>
      <numFmt numFmtId="166" formatCode="_([$$-409]* #,##0.00_);_([$$-409]* \(#,##0.00\);_([$$-409]* &quot;-&quot;??_);_(@_)"/>
      <fill>
        <patternFill patternType="none">
          <fgColor indexed="64"/>
          <bgColor indexed="65"/>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Calibri"/>
        <scheme val="minor"/>
      </font>
      <numFmt numFmtId="166" formatCode="_([$$-409]* #,##0.00_);_([$$-409]* \(#,##0.00\);_([$$-409]* &quot;-&quot;??_);_(@_)"/>
      <fill>
        <patternFill patternType="none">
          <fgColor indexed="64"/>
          <bgColor indexed="65"/>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Calibri"/>
        <scheme val="minor"/>
      </font>
      <numFmt numFmtId="5" formatCode="#,##0_);\(#,##0\)"/>
      <fill>
        <patternFill patternType="none">
          <fgColor indexed="64"/>
          <bgColor indexed="65"/>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i val="0"/>
        <strike val="0"/>
        <condense val="0"/>
        <extend val="0"/>
        <outline val="0"/>
        <shadow val="0"/>
        <u val="none"/>
        <vertAlign val="baseline"/>
        <sz val="11"/>
        <color auto="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auto="1"/>
        <name val="Calibri"/>
        <scheme val="minor"/>
      </font>
      <numFmt numFmtId="34" formatCode="_(&quot;$&quot;* #,##0.00_);_(&quot;$&quot;* \(#,##0.00\);_(&quot;$&quot;* &quot;-&quot;??_);_(@_)"/>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numFmt numFmtId="7" formatCode="#,##0.00_);\(#,##0.00\)"/>
      <border diagonalUp="0" diagonalDown="0" outline="0">
        <left/>
        <right/>
        <top/>
        <bottom/>
      </border>
    </dxf>
    <dxf>
      <font>
        <b val="0"/>
        <i val="0"/>
        <strike val="0"/>
        <condense val="0"/>
        <extend val="0"/>
        <outline val="0"/>
        <shadow val="0"/>
        <u val="none"/>
        <vertAlign val="baseline"/>
        <sz val="11"/>
        <color auto="1"/>
        <name val="Calibri"/>
        <scheme val="minor"/>
      </font>
      <numFmt numFmtId="7" formatCode="#,##0.00_);\(#,##0.00\)"/>
      <fill>
        <patternFill patternType="none">
          <fgColor indexed="64"/>
        </patternFill>
      </fill>
    </dxf>
    <dxf>
      <font>
        <b val="0"/>
        <i/>
        <strike val="0"/>
        <condense val="0"/>
        <extend val="0"/>
        <outline val="0"/>
        <shadow val="0"/>
        <u val="none"/>
        <vertAlign val="baseline"/>
        <sz val="11"/>
        <color auto="1"/>
        <name val="Calibri"/>
        <scheme val="minor"/>
      </font>
      <numFmt numFmtId="2"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scheme val="minor"/>
      </font>
      <numFmt numFmtId="2" formatCode="0.00"/>
      <fill>
        <patternFill patternType="solid">
          <fgColor indexed="64"/>
          <bgColor theme="3" tint="0.79998168889431442"/>
        </patternFill>
      </fill>
    </dxf>
    <dxf>
      <font>
        <b val="0"/>
        <i/>
        <strike val="0"/>
        <condense val="0"/>
        <extend val="0"/>
        <outline val="0"/>
        <shadow val="0"/>
        <u val="none"/>
        <vertAlign val="baseline"/>
        <sz val="11"/>
        <color auto="1"/>
        <name val="Calibri"/>
        <scheme val="minor"/>
      </font>
      <numFmt numFmtId="166" formatCode="_([$$-409]* #,##0.00_);_([$$-409]* \(#,##0.00\);_([$$-409]* &quot;-&quot;??_);_(@_)"/>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numFmt numFmtId="166" formatCode="_([$$-409]* #,##0.00_);_([$$-409]* \(#,##0.00\);_([$$-409]* &quot;-&quot;??_);_(@_)"/>
      <fill>
        <patternFill patternType="none">
          <fgColor indexed="64"/>
          <bgColor indexed="65"/>
        </patternFill>
      </fill>
    </dxf>
    <dxf>
      <font>
        <b val="0"/>
        <i/>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numFmt numFmtId="166" formatCode="_([$$-409]* #,##0.00_);_([$$-409]* \(#,##0.00\);_([$$-409]*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scheme val="minor"/>
      </font>
      <numFmt numFmtId="166" formatCode="_([$$-409]* #,##0.00_);_([$$-409]* \(#,##0.00\);_([$$-409]* &quot;-&quot;??_);_(@_)"/>
      <fill>
        <patternFill patternType="none">
          <fgColor indexed="64"/>
          <bgColor indexed="65"/>
        </patternFill>
      </fill>
    </dxf>
    <dxf>
      <font>
        <b val="0"/>
        <i val="0"/>
        <strike val="0"/>
        <condense val="0"/>
        <extend val="0"/>
        <outline val="0"/>
        <shadow val="0"/>
        <u val="none"/>
        <vertAlign val="baseline"/>
        <sz val="11"/>
        <color auto="1"/>
        <name val="Calibri"/>
        <scheme val="minor"/>
      </font>
      <numFmt numFmtId="5" formatCode="#,##0_);\(#,##0\)"/>
      <border diagonalUp="0" diagonalDown="0" outline="0">
        <left/>
        <right/>
        <top/>
        <bottom/>
      </border>
    </dxf>
    <dxf>
      <font>
        <b val="0"/>
        <i val="0"/>
        <strike val="0"/>
        <condense val="0"/>
        <extend val="0"/>
        <outline val="0"/>
        <shadow val="0"/>
        <u val="none"/>
        <vertAlign val="baseline"/>
        <sz val="11"/>
        <color auto="1"/>
        <name val="Calibri"/>
        <scheme val="minor"/>
      </font>
      <numFmt numFmtId="5" formatCode="#,##0_);\(#,##0\)"/>
      <fill>
        <patternFill patternType="none">
          <fgColor indexed="64"/>
          <bgColor indexed="65"/>
        </patternFill>
      </fill>
    </dxf>
    <dxf>
      <font>
        <b val="0"/>
        <i val="0"/>
        <strike val="0"/>
        <condense val="0"/>
        <extend val="0"/>
        <outline val="0"/>
        <shadow val="0"/>
        <u val="none"/>
        <vertAlign val="baseline"/>
        <sz val="11"/>
        <color auto="1"/>
        <name val="Calibri"/>
        <scheme val="minor"/>
      </font>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i val="0"/>
        <strike val="0"/>
        <condense val="0"/>
        <extend val="0"/>
        <outline val="0"/>
        <shadow val="0"/>
        <u val="none"/>
        <vertAlign val="baseline"/>
        <sz val="11"/>
        <color auto="1"/>
        <name val="Calibri"/>
        <scheme val="minor"/>
      </font>
      <fill>
        <patternFill patternType="none">
          <fgColor indexed="64"/>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Calibri"/>
        <scheme val="minor"/>
      </font>
      <fill>
        <patternFill patternType="solid">
          <fgColor indexed="64"/>
          <bgColor theme="3" tint="0.79998168889431442"/>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Calibri"/>
        <scheme val="minor"/>
      </font>
      <numFmt numFmtId="7" formatCode="#,##0.00_);\(#,##0.00\)"/>
    </dxf>
    <dxf>
      <font>
        <b/>
        <i val="0"/>
        <strike val="0"/>
        <condense val="0"/>
        <extend val="0"/>
        <outline val="0"/>
        <shadow val="0"/>
        <u val="none"/>
        <vertAlign val="baseline"/>
        <sz val="11"/>
        <color theme="1"/>
        <name val="Calibri"/>
        <scheme val="minor"/>
      </font>
      <numFmt numFmtId="35" formatCode="_(* #,##0.00_);_(* \(#,##0.00\);_(* &quot;-&quot;??_);_(@_)"/>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dxf>
    <dxf>
      <font>
        <b/>
        <i val="0"/>
        <strike val="0"/>
        <condense val="0"/>
        <extend val="0"/>
        <outline val="0"/>
        <shadow val="0"/>
        <u val="none"/>
        <vertAlign val="baseline"/>
        <sz val="11"/>
        <color auto="1"/>
        <name val="Calibri"/>
        <scheme val="minor"/>
      </font>
      <numFmt numFmtId="166" formatCode="_([$$-409]* #,##0.00_);_([$$-409]* \(#,##0.00\);_([$$-409]* &quot;-&quot;??_);_(@_)"/>
      <alignment horizontal="right" vertical="bottom" textRotation="0" wrapText="0" indent="0" justifyLastLine="0" shrinkToFit="0" readingOrder="0"/>
      <border diagonalUp="0" diagonalDown="0" outline="0">
        <left/>
        <right/>
        <top style="thin">
          <color theme="7"/>
        </top>
        <bottom style="thin">
          <color theme="7"/>
        </bottom>
      </border>
    </dxf>
    <dxf>
      <font>
        <b val="0"/>
        <i val="0"/>
        <strike val="0"/>
        <condense val="0"/>
        <extend val="0"/>
        <outline val="0"/>
        <shadow val="0"/>
        <u val="none"/>
        <vertAlign val="baseline"/>
        <sz val="11"/>
        <color auto="1"/>
        <name val="Calibri"/>
        <scheme val="minor"/>
      </font>
      <numFmt numFmtId="166" formatCode="_([$$-409]* #,##0.00_);_([$$-409]* \(#,##0.00\);_([$$-409]* &quot;-&quot;??_);_(@_)"/>
      <fill>
        <patternFill patternType="none">
          <fgColor indexed="64"/>
          <bgColor indexed="65"/>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Calibri"/>
        <scheme val="minor"/>
      </font>
      <numFmt numFmtId="166" formatCode="_([$$-409]* #,##0.00_);_([$$-409]* \(#,##0.00\);_([$$-409]* &quot;-&quot;??_);_(@_)"/>
      <fill>
        <patternFill patternType="none">
          <fgColor indexed="64"/>
          <bgColor indexed="65"/>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Calibri"/>
        <scheme val="minor"/>
      </font>
      <numFmt numFmtId="5" formatCode="#,##0_);\(#,##0\)"/>
      <fill>
        <patternFill patternType="none">
          <fgColor indexed="64"/>
          <bgColor indexed="65"/>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i val="0"/>
        <strike val="0"/>
        <condense val="0"/>
        <extend val="0"/>
        <outline val="0"/>
        <shadow val="0"/>
        <u val="none"/>
        <vertAlign val="baseline"/>
        <sz val="11"/>
        <color auto="1"/>
        <name val="Calibri"/>
        <scheme val="minor"/>
      </font>
      <alignment horizontal="center" vertical="bottom" textRotation="0" wrapText="1" indent="0" justifyLastLine="0" shrinkToFit="0" readingOrder="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theme" Target="theme/theme1.xml"/><Relationship Id="rId25" Type="http://schemas.openxmlformats.org/officeDocument/2006/relationships/styles" Target="styles.xml"/><Relationship Id="rId26" Type="http://schemas.openxmlformats.org/officeDocument/2006/relationships/sharedStrings" Target="sharedStrings.xml"/><Relationship Id="rId27"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lIns="2">
            <a:spAutoFit/>
          </a:bodyPr>
          <a:lstStyle/>
          <a:p>
            <a:pPr algn="ctr">
              <a:defRPr b="0"/>
            </a:pPr>
            <a:r>
              <a:rPr lang="en-US" sz="1600" b="0"/>
              <a:t>GHG Emissions by Sector</a:t>
            </a:r>
          </a:p>
        </c:rich>
      </c:tx>
      <c:layout>
        <c:manualLayout>
          <c:xMode val="edge"/>
          <c:yMode val="edge"/>
          <c:x val="0.148372899283112"/>
          <c:y val="0.0521711969223025"/>
        </c:manualLayout>
      </c:layout>
      <c:overlay val="0"/>
    </c:title>
    <c:autoTitleDeleted val="0"/>
    <c:plotArea>
      <c:layout/>
      <c:pieChart>
        <c:varyColors val="1"/>
        <c:ser>
          <c:idx val="0"/>
          <c:order val="0"/>
          <c:explosion val="25"/>
          <c:dPt>
            <c:idx val="0"/>
            <c:bubble3D val="0"/>
            <c:spPr>
              <a:solidFill>
                <a:schemeClr val="accent1"/>
              </a:solidFill>
            </c:spPr>
          </c:dPt>
          <c:dPt>
            <c:idx val="1"/>
            <c:bubble3D val="0"/>
            <c:spPr>
              <a:solidFill>
                <a:schemeClr val="accent2"/>
              </a:solidFill>
            </c:spPr>
          </c:dPt>
          <c:dPt>
            <c:idx val="2"/>
            <c:bubble3D val="0"/>
            <c:spPr>
              <a:solidFill>
                <a:schemeClr val="accent3"/>
              </a:solidFill>
            </c:spPr>
          </c:dPt>
          <c:dPt>
            <c:idx val="3"/>
            <c:bubble3D val="0"/>
            <c:spPr>
              <a:solidFill>
                <a:schemeClr val="accent4"/>
              </a:solidFill>
            </c:spPr>
          </c:dPt>
          <c:dLbls>
            <c:txPr>
              <a:bodyPr/>
              <a:lstStyle/>
              <a:p>
                <a:pPr>
                  <a:defRPr b="0"/>
                </a:pPr>
                <a:endParaRPr lang="en-US"/>
              </a:p>
            </c:txPr>
            <c:dLblPos val="bestFit"/>
            <c:showLegendKey val="0"/>
            <c:showVal val="0"/>
            <c:showCatName val="1"/>
            <c:showSerName val="0"/>
            <c:showPercent val="1"/>
            <c:showBubbleSize val="0"/>
            <c:showLeaderLines val="1"/>
          </c:dLbls>
          <c:cat>
            <c:strRef>
              <c:f>'Tables and Figures'!$B$6:$B$9</c:f>
              <c:strCache>
                <c:ptCount val="4"/>
                <c:pt idx="0">
                  <c:v>Vehicle Fleet</c:v>
                </c:pt>
                <c:pt idx="1">
                  <c:v>Town Bldgs</c:v>
                </c:pt>
                <c:pt idx="2">
                  <c:v>Outdoor Lighting</c:v>
                </c:pt>
                <c:pt idx="3">
                  <c:v>Sewer</c:v>
                </c:pt>
              </c:strCache>
            </c:strRef>
          </c:cat>
          <c:val>
            <c:numRef>
              <c:f>'Tables and Figures'!$G$6:$G$9</c:f>
              <c:numCache>
                <c:formatCode>_(* #,##0.00_);_(* \(#,##0.00\);_(* "-"??_);_(@_)</c:formatCode>
                <c:ptCount val="4"/>
                <c:pt idx="0" formatCode="#,##0.00">
                  <c:v>946.3820515599998</c:v>
                </c:pt>
                <c:pt idx="1">
                  <c:v>478.7928802674383</c:v>
                </c:pt>
                <c:pt idx="2">
                  <c:v>211.7893745085321</c:v>
                </c:pt>
                <c:pt idx="3">
                  <c:v>48.87312747410438</c:v>
                </c:pt>
              </c:numCache>
            </c:numRef>
          </c:val>
        </c:ser>
        <c:dLbls>
          <c:showLegendKey val="0"/>
          <c:showVal val="0"/>
          <c:showCatName val="1"/>
          <c:showSerName val="0"/>
          <c:showPercent val="1"/>
          <c:showBubbleSize val="0"/>
          <c:showLeaderLines val="1"/>
        </c:dLbls>
        <c:firstSliceAng val="145"/>
      </c:pieChart>
    </c:plotArea>
    <c:plotVisOnly val="1"/>
    <c:dispBlanksAs val="gap"/>
    <c:showDLblsOverMax val="0"/>
  </c:chart>
  <c:printSettings>
    <c:headerFooter/>
    <c:pageMargins b="1.0" l="0.75" r="0.75" t="1.0"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b="0"/>
            </a:pPr>
            <a:r>
              <a:rPr lang="en-US" b="0"/>
              <a:t>Energy Costs of Outdoor Lighting</a:t>
            </a:r>
          </a:p>
        </c:rich>
      </c:tx>
      <c:layout/>
      <c:overlay val="0"/>
    </c:title>
    <c:autoTitleDeleted val="0"/>
    <c:plotArea>
      <c:layout/>
      <c:pieChart>
        <c:varyColors val="1"/>
        <c:ser>
          <c:idx val="0"/>
          <c:order val="0"/>
          <c:explosion val="25"/>
          <c:dPt>
            <c:idx val="0"/>
            <c:bubble3D val="0"/>
            <c:spPr>
              <a:solidFill>
                <a:schemeClr val="accent1">
                  <a:lumMod val="60000"/>
                  <a:lumOff val="40000"/>
                </a:schemeClr>
              </a:solidFill>
            </c:spPr>
          </c:dPt>
          <c:dPt>
            <c:idx val="1"/>
            <c:bubble3D val="0"/>
            <c:spPr>
              <a:solidFill>
                <a:schemeClr val="accent3">
                  <a:lumMod val="60000"/>
                  <a:lumOff val="40000"/>
                </a:schemeClr>
              </a:solidFill>
            </c:spPr>
          </c:dPt>
          <c:dPt>
            <c:idx val="2"/>
            <c:bubble3D val="0"/>
            <c:spPr>
              <a:solidFill>
                <a:schemeClr val="accent4">
                  <a:lumMod val="60000"/>
                  <a:lumOff val="40000"/>
                </a:schemeClr>
              </a:solidFill>
            </c:spPr>
          </c:dPt>
          <c:dPt>
            <c:idx val="3"/>
            <c:bubble3D val="0"/>
            <c:spPr>
              <a:solidFill>
                <a:schemeClr val="accent5">
                  <a:lumMod val="75000"/>
                </a:schemeClr>
              </a:solidFill>
            </c:spPr>
          </c:dPt>
          <c:dLbls>
            <c:dLbl>
              <c:idx val="1"/>
              <c:layout>
                <c:manualLayout>
                  <c:x val="-0.00582436073331743"/>
                  <c:y val="-0.112127498485766"/>
                </c:manualLayout>
              </c:layout>
              <c:showLegendKey val="0"/>
              <c:showVal val="0"/>
              <c:showCatName val="1"/>
              <c:showSerName val="0"/>
              <c:showPercent val="1"/>
              <c:showBubbleSize val="0"/>
            </c:dLbl>
            <c:showLegendKey val="0"/>
            <c:showVal val="0"/>
            <c:showCatName val="1"/>
            <c:showSerName val="0"/>
            <c:showPercent val="1"/>
            <c:showBubbleSize val="0"/>
            <c:showLeaderLines val="1"/>
          </c:dLbls>
          <c:cat>
            <c:strRef>
              <c:f>'Tables and Figures'!$B$149:$B$152</c:f>
              <c:strCache>
                <c:ptCount val="4"/>
                <c:pt idx="0">
                  <c:v>Street/Area Lighting</c:v>
                </c:pt>
                <c:pt idx="1">
                  <c:v>Park Entrance Lights</c:v>
                </c:pt>
                <c:pt idx="2">
                  <c:v>Traffic Signals</c:v>
                </c:pt>
                <c:pt idx="3">
                  <c:v>Signs</c:v>
                </c:pt>
              </c:strCache>
            </c:strRef>
          </c:cat>
          <c:val>
            <c:numRef>
              <c:f>'Tables and Figures'!$I$149:$I$152</c:f>
              <c:numCache>
                <c:formatCode>_([$$-409]* #,##0.00_);_([$$-409]* \(#,##0.00\);_([$$-409]* "-"??_);_(@_)</c:formatCode>
                <c:ptCount val="4"/>
                <c:pt idx="0">
                  <c:v>150478.1791257983</c:v>
                </c:pt>
                <c:pt idx="1">
                  <c:v>9820.28</c:v>
                </c:pt>
                <c:pt idx="2">
                  <c:v>7948.86</c:v>
                </c:pt>
                <c:pt idx="3">
                  <c:v>1577.71</c:v>
                </c:pt>
              </c:numCache>
            </c:numRef>
          </c:val>
        </c:ser>
        <c:dLbls>
          <c:showLegendKey val="0"/>
          <c:showVal val="0"/>
          <c:showCatName val="0"/>
          <c:showSerName val="0"/>
          <c:showPercent val="0"/>
          <c:showBubbleSize val="0"/>
          <c:showLeaderLines val="1"/>
        </c:dLbls>
        <c:firstSliceAng val="100"/>
      </c:pieChart>
    </c:plotArea>
    <c:plotVisOnly val="1"/>
    <c:dispBlanksAs val="gap"/>
    <c:showDLblsOverMax val="0"/>
  </c:chart>
  <c:printSettings>
    <c:headerFooter/>
    <c:pageMargins b="1.0" l="0.75" r="0.75" t="1.0"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b="0"/>
            </a:pPr>
            <a:r>
              <a:rPr lang="en-US" b="0"/>
              <a:t>Energy Costs of Town Buildings</a:t>
            </a:r>
          </a:p>
        </c:rich>
      </c:tx>
      <c:layout/>
      <c:overlay val="0"/>
    </c:title>
    <c:autoTitleDeleted val="0"/>
    <c:plotArea>
      <c:layout/>
      <c:pieChart>
        <c:varyColors val="1"/>
        <c:ser>
          <c:idx val="0"/>
          <c:order val="0"/>
          <c:explosion val="25"/>
          <c:dPt>
            <c:idx val="0"/>
            <c:bubble3D val="0"/>
            <c:spPr>
              <a:solidFill>
                <a:schemeClr val="accent6">
                  <a:lumMod val="75000"/>
                </a:schemeClr>
              </a:solidFill>
            </c:spPr>
          </c:dPt>
          <c:dPt>
            <c:idx val="1"/>
            <c:bubble3D val="0"/>
            <c:spPr>
              <a:solidFill>
                <a:schemeClr val="accent3">
                  <a:lumMod val="75000"/>
                </a:schemeClr>
              </a:solidFill>
            </c:spPr>
          </c:dPt>
          <c:dPt>
            <c:idx val="2"/>
            <c:bubble3D val="0"/>
            <c:spPr>
              <a:solidFill>
                <a:schemeClr val="accent5">
                  <a:lumMod val="75000"/>
                </a:schemeClr>
              </a:solidFill>
            </c:spPr>
          </c:dPt>
          <c:dPt>
            <c:idx val="3"/>
            <c:bubble3D val="0"/>
            <c:spPr>
              <a:solidFill>
                <a:schemeClr val="accent4">
                  <a:lumMod val="75000"/>
                </a:schemeClr>
              </a:solidFill>
            </c:spPr>
          </c:dPt>
          <c:dPt>
            <c:idx val="4"/>
            <c:bubble3D val="0"/>
            <c:spPr>
              <a:solidFill>
                <a:schemeClr val="accent2">
                  <a:lumMod val="75000"/>
                </a:schemeClr>
              </a:solidFill>
            </c:spPr>
          </c:dPt>
          <c:dPt>
            <c:idx val="5"/>
            <c:bubble3D val="0"/>
            <c:spPr>
              <a:solidFill>
                <a:schemeClr val="accent1">
                  <a:lumMod val="75000"/>
                </a:schemeClr>
              </a:solidFill>
            </c:spPr>
          </c:dPt>
          <c:dLbls>
            <c:dLbl>
              <c:idx val="4"/>
              <c:layout>
                <c:manualLayout>
                  <c:x val="0.101851851851852"/>
                  <c:y val="0.0202265372168285"/>
                </c:manualLayout>
              </c:layout>
              <c:showLegendKey val="0"/>
              <c:showVal val="0"/>
              <c:showCatName val="1"/>
              <c:showSerName val="0"/>
              <c:showPercent val="1"/>
              <c:showBubbleSize val="0"/>
            </c:dLbl>
            <c:dLbl>
              <c:idx val="5"/>
              <c:layout>
                <c:manualLayout>
                  <c:x val="-0.073497375328084"/>
                  <c:y val="0.0436727569248019"/>
                </c:manualLayout>
              </c:layout>
              <c:showLegendKey val="0"/>
              <c:showVal val="0"/>
              <c:showCatName val="1"/>
              <c:showSerName val="0"/>
              <c:showPercent val="1"/>
              <c:showBubbleSize val="0"/>
            </c:dLbl>
            <c:showLegendKey val="0"/>
            <c:showVal val="0"/>
            <c:showCatName val="1"/>
            <c:showSerName val="0"/>
            <c:showPercent val="1"/>
            <c:showBubbleSize val="0"/>
            <c:showLeaderLines val="1"/>
          </c:dLbls>
          <c:cat>
            <c:strRef>
              <c:f>'Tables and Figures'!$B$37:$B$42</c:f>
              <c:strCache>
                <c:ptCount val="6"/>
                <c:pt idx="0">
                  <c:v>Admin Bldgs</c:v>
                </c:pt>
                <c:pt idx="1">
                  <c:v>Clifton Commons</c:v>
                </c:pt>
                <c:pt idx="2">
                  <c:v>Hwy Garages</c:v>
                </c:pt>
                <c:pt idx="3">
                  <c:v>Town Pools</c:v>
                </c:pt>
                <c:pt idx="4">
                  <c:v>B&amp;G Garages</c:v>
                </c:pt>
                <c:pt idx="5">
                  <c:v>Town Parks</c:v>
                </c:pt>
              </c:strCache>
            </c:strRef>
          </c:cat>
          <c:val>
            <c:numRef>
              <c:f>'Tables and Figures'!$I$37:$I$42</c:f>
              <c:numCache>
                <c:formatCode>_([$$-409]* #,##0.00_);_([$$-409]* \(#,##0.00\);_([$$-409]* "-"??_);_(@_)</c:formatCode>
                <c:ptCount val="6"/>
                <c:pt idx="0">
                  <c:v>37566.69</c:v>
                </c:pt>
                <c:pt idx="1">
                  <c:v>28696.27000000001</c:v>
                </c:pt>
                <c:pt idx="2">
                  <c:v>12528.34</c:v>
                </c:pt>
                <c:pt idx="3">
                  <c:v>8869.7</c:v>
                </c:pt>
                <c:pt idx="4">
                  <c:v>4063.11</c:v>
                </c:pt>
                <c:pt idx="5">
                  <c:v>1752.1</c:v>
                </c:pt>
              </c:numCache>
            </c:numRef>
          </c:val>
        </c:ser>
        <c:dLbls>
          <c:showLegendKey val="0"/>
          <c:showVal val="0"/>
          <c:showCatName val="0"/>
          <c:showSerName val="0"/>
          <c:showPercent val="0"/>
          <c:showBubbleSize val="0"/>
          <c:showLeaderLines val="1"/>
        </c:dLbls>
        <c:firstSliceAng val="145"/>
      </c:pieChart>
    </c:plotArea>
    <c:plotVisOnly val="1"/>
    <c:dispBlanksAs val="gap"/>
    <c:showDLblsOverMax val="0"/>
  </c:chart>
  <c:printSettings>
    <c:headerFooter/>
    <c:pageMargins b="1.0" l="0.75" r="0.75" t="1.0"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b="0"/>
            </a:pPr>
            <a:r>
              <a:rPr lang="en-US" b="0"/>
              <a:t>GHG</a:t>
            </a:r>
            <a:r>
              <a:rPr lang="en-US" b="0" baseline="0"/>
              <a:t> Emissions by Facility </a:t>
            </a:r>
          </a:p>
          <a:p>
            <a:pPr>
              <a:defRPr b="0"/>
            </a:pPr>
            <a:r>
              <a:rPr lang="en-US" b="0" baseline="0"/>
              <a:t>(MTCo</a:t>
            </a:r>
            <a:r>
              <a:rPr lang="en-US" b="0" baseline="-25000"/>
              <a:t>2</a:t>
            </a:r>
            <a:r>
              <a:rPr lang="en-US" b="0" baseline="0"/>
              <a:t>e)</a:t>
            </a:r>
            <a:endParaRPr lang="en-US" b="0"/>
          </a:p>
        </c:rich>
      </c:tx>
      <c:layout>
        <c:manualLayout>
          <c:xMode val="edge"/>
          <c:yMode val="edge"/>
          <c:x val="0.2910549984774"/>
          <c:y val="0.0454545454545454"/>
        </c:manualLayout>
      </c:layout>
      <c:overlay val="1"/>
      <c:spPr>
        <a:solidFill>
          <a:schemeClr val="bg1"/>
        </a:solidFill>
      </c:spPr>
    </c:title>
    <c:autoTitleDeleted val="0"/>
    <c:plotArea>
      <c:layout/>
      <c:barChart>
        <c:barDir val="col"/>
        <c:grouping val="clustered"/>
        <c:varyColors val="0"/>
        <c:ser>
          <c:idx val="0"/>
          <c:order val="0"/>
          <c:invertIfNegative val="0"/>
          <c:cat>
            <c:strRef>
              <c:f>'Tables and Figures'!$B$49:$B$72</c:f>
              <c:strCache>
                <c:ptCount val="24"/>
                <c:pt idx="0">
                  <c:v>Hwy Main Bldg</c:v>
                </c:pt>
                <c:pt idx="1">
                  <c:v>Public Safety Bldg</c:v>
                </c:pt>
                <c:pt idx="2">
                  <c:v>Town Hall</c:v>
                </c:pt>
                <c:pt idx="3">
                  <c:v>Senior Center</c:v>
                </c:pt>
                <c:pt idx="4">
                  <c:v>Barney Rd Pool</c:v>
                </c:pt>
                <c:pt idx="5">
                  <c:v>Locust Lane Pool</c:v>
                </c:pt>
                <c:pt idx="6">
                  <c:v>Hwy Storage Bldg</c:v>
                </c:pt>
                <c:pt idx="7">
                  <c:v>Grooms Tavern</c:v>
                </c:pt>
                <c:pt idx="8">
                  <c:v>B&amp;G Auto/Maint Bldg</c:v>
                </c:pt>
                <c:pt idx="9">
                  <c:v>C/C Soccer Facility</c:v>
                </c:pt>
                <c:pt idx="10">
                  <c:v>C/C Little League Facility</c:v>
                </c:pt>
                <c:pt idx="11">
                  <c:v>C/C Softball Facility</c:v>
                </c:pt>
                <c:pt idx="12">
                  <c:v>Transfer Station</c:v>
                </c:pt>
                <c:pt idx="13">
                  <c:v>B&amp;G Workshop</c:v>
                </c:pt>
                <c:pt idx="14">
                  <c:v>C/C Baseball Facility</c:v>
                </c:pt>
                <c:pt idx="15">
                  <c:v>C/C Garage</c:v>
                </c:pt>
                <c:pt idx="16">
                  <c:v>Burning Bush Pool</c:v>
                </c:pt>
                <c:pt idx="17">
                  <c:v>C/C Stage</c:v>
                </c:pt>
                <c:pt idx="18">
                  <c:v>Dog Park</c:v>
                </c:pt>
                <c:pt idx="19">
                  <c:v>Veterans Park</c:v>
                </c:pt>
                <c:pt idx="20">
                  <c:v>Collins Park</c:v>
                </c:pt>
                <c:pt idx="21">
                  <c:v>C/C Restrooms</c:v>
                </c:pt>
                <c:pt idx="22">
                  <c:v>Spirit Park</c:v>
                </c:pt>
                <c:pt idx="23">
                  <c:v>Mohawk Valley Grange Hall*</c:v>
                </c:pt>
              </c:strCache>
            </c:strRef>
          </c:cat>
          <c:val>
            <c:numRef>
              <c:f>'Tables and Figures'!$G$49:$G$58</c:f>
              <c:numCache>
                <c:formatCode>0.00</c:formatCode>
                <c:ptCount val="10"/>
                <c:pt idx="0">
                  <c:v>92.12692071789242</c:v>
                </c:pt>
                <c:pt idx="1">
                  <c:v>84.71079752599541</c:v>
                </c:pt>
                <c:pt idx="2">
                  <c:v>72.6643143412833</c:v>
                </c:pt>
                <c:pt idx="3">
                  <c:v>57.13987485819779</c:v>
                </c:pt>
                <c:pt idx="4">
                  <c:v>28.09431380760403</c:v>
                </c:pt>
                <c:pt idx="5">
                  <c:v>27.36061632292187</c:v>
                </c:pt>
                <c:pt idx="6">
                  <c:v>23.41077373196288</c:v>
                </c:pt>
                <c:pt idx="7">
                  <c:v>19.44310515756911</c:v>
                </c:pt>
                <c:pt idx="8">
                  <c:v>16.44997605708013</c:v>
                </c:pt>
                <c:pt idx="9">
                  <c:v>15.4451076086219</c:v>
                </c:pt>
              </c:numCache>
            </c:numRef>
          </c:val>
        </c:ser>
        <c:dLbls>
          <c:showLegendKey val="0"/>
          <c:showVal val="0"/>
          <c:showCatName val="0"/>
          <c:showSerName val="0"/>
          <c:showPercent val="0"/>
          <c:showBubbleSize val="0"/>
        </c:dLbls>
        <c:gapWidth val="150"/>
        <c:axId val="2075714280"/>
        <c:axId val="2075717224"/>
      </c:barChart>
      <c:catAx>
        <c:axId val="2075714280"/>
        <c:scaling>
          <c:orientation val="minMax"/>
        </c:scaling>
        <c:delete val="0"/>
        <c:axPos val="b"/>
        <c:majorTickMark val="out"/>
        <c:minorTickMark val="none"/>
        <c:tickLblPos val="nextTo"/>
        <c:crossAx val="2075717224"/>
        <c:crosses val="autoZero"/>
        <c:auto val="1"/>
        <c:lblAlgn val="ctr"/>
        <c:lblOffset val="100"/>
        <c:noMultiLvlLbl val="0"/>
      </c:catAx>
      <c:valAx>
        <c:axId val="2075717224"/>
        <c:scaling>
          <c:orientation val="minMax"/>
        </c:scaling>
        <c:delete val="0"/>
        <c:axPos val="l"/>
        <c:majorGridlines/>
        <c:numFmt formatCode="0.00" sourceLinked="1"/>
        <c:majorTickMark val="out"/>
        <c:minorTickMark val="none"/>
        <c:tickLblPos val="nextTo"/>
        <c:crossAx val="2075714280"/>
        <c:crosses val="autoZero"/>
        <c:crossBetween val="between"/>
      </c:valAx>
    </c:plotArea>
    <c:plotVisOnly val="1"/>
    <c:dispBlanksAs val="gap"/>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lIns="2">
            <a:spAutoFit/>
          </a:bodyPr>
          <a:lstStyle/>
          <a:p>
            <a:pPr>
              <a:defRPr b="0"/>
            </a:pPr>
            <a:r>
              <a:rPr lang="en-US" sz="1400" b="0"/>
              <a:t>Energy Cost by Sector</a:t>
            </a:r>
          </a:p>
        </c:rich>
      </c:tx>
      <c:layout>
        <c:manualLayout>
          <c:xMode val="edge"/>
          <c:yMode val="edge"/>
          <c:x val="0.214138750058937"/>
          <c:y val="0.0375308784931295"/>
        </c:manualLayout>
      </c:layout>
      <c:overlay val="0"/>
    </c:title>
    <c:autoTitleDeleted val="0"/>
    <c:plotArea>
      <c:layout/>
      <c:pieChart>
        <c:varyColors val="1"/>
        <c:ser>
          <c:idx val="0"/>
          <c:order val="0"/>
          <c:tx>
            <c:strRef>
              <c:f>'Tables and Figures'!$I$13</c:f>
              <c:strCache>
                <c:ptCount val="1"/>
                <c:pt idx="0">
                  <c:v>Total Energy Cost ($/yr)</c:v>
                </c:pt>
              </c:strCache>
            </c:strRef>
          </c:tx>
          <c:explosion val="25"/>
          <c:dPt>
            <c:idx val="0"/>
            <c:bubble3D val="0"/>
            <c:spPr>
              <a:solidFill>
                <a:schemeClr val="accent1"/>
              </a:solidFill>
            </c:spPr>
          </c:dPt>
          <c:dPt>
            <c:idx val="1"/>
            <c:bubble3D val="0"/>
            <c:spPr>
              <a:solidFill>
                <a:schemeClr val="accent3"/>
              </a:solidFill>
            </c:spPr>
          </c:dPt>
          <c:dPt>
            <c:idx val="2"/>
            <c:bubble3D val="0"/>
            <c:spPr>
              <a:solidFill>
                <a:schemeClr val="accent2"/>
              </a:solidFill>
            </c:spPr>
          </c:dPt>
          <c:dPt>
            <c:idx val="3"/>
            <c:bubble3D val="0"/>
            <c:spPr>
              <a:solidFill>
                <a:schemeClr val="accent4"/>
              </a:solidFill>
            </c:spPr>
          </c:dPt>
          <c:dLbls>
            <c:dLbl>
              <c:idx val="1"/>
              <c:layout>
                <c:manualLayout>
                  <c:x val="0.151721851572446"/>
                  <c:y val="0.0989361394163965"/>
                </c:manualLayout>
              </c:layout>
              <c:dLblPos val="bestFit"/>
              <c:showLegendKey val="0"/>
              <c:showVal val="0"/>
              <c:showCatName val="1"/>
              <c:showSerName val="0"/>
              <c:showPercent val="1"/>
              <c:showBubbleSize val="0"/>
            </c:dLbl>
            <c:txPr>
              <a:bodyPr/>
              <a:lstStyle/>
              <a:p>
                <a:pPr>
                  <a:defRPr b="0" i="0"/>
                </a:pPr>
                <a:endParaRPr lang="en-US"/>
              </a:p>
            </c:txPr>
            <c:dLblPos val="bestFit"/>
            <c:showLegendKey val="0"/>
            <c:showVal val="0"/>
            <c:showCatName val="1"/>
            <c:showSerName val="0"/>
            <c:showPercent val="1"/>
            <c:showBubbleSize val="0"/>
            <c:showLeaderLines val="1"/>
          </c:dLbls>
          <c:cat>
            <c:strRef>
              <c:f>'Tables and Figures'!$B$14:$B$17</c:f>
              <c:strCache>
                <c:ptCount val="4"/>
                <c:pt idx="0">
                  <c:v>Vehicle Fleet</c:v>
                </c:pt>
                <c:pt idx="1">
                  <c:v>Outdoor Lighting</c:v>
                </c:pt>
                <c:pt idx="2">
                  <c:v>Town Bldgs</c:v>
                </c:pt>
                <c:pt idx="3">
                  <c:v>Sewer</c:v>
                </c:pt>
              </c:strCache>
            </c:strRef>
          </c:cat>
          <c:val>
            <c:numRef>
              <c:f>'Tables and Figures'!$I$14:$I$17</c:f>
              <c:numCache>
                <c:formatCode>_("$"* #,##0.00_);_("$"* \(#,##0.00\);_("$"* "-"??_);_(@_)</c:formatCode>
                <c:ptCount val="4"/>
                <c:pt idx="0">
                  <c:v>290393.0</c:v>
                </c:pt>
                <c:pt idx="1">
                  <c:v>169825.0291257982</c:v>
                </c:pt>
                <c:pt idx="2">
                  <c:v>93476.21</c:v>
                </c:pt>
                <c:pt idx="3">
                  <c:v>18043.28</c:v>
                </c:pt>
              </c:numCache>
            </c:numRef>
          </c:val>
        </c:ser>
        <c:dLbls>
          <c:showLegendKey val="0"/>
          <c:showVal val="1"/>
          <c:showCatName val="0"/>
          <c:showSerName val="0"/>
          <c:showPercent val="0"/>
          <c:showBubbleSize val="0"/>
          <c:showLeaderLines val="1"/>
        </c:dLbls>
        <c:firstSliceAng val="145"/>
      </c:pieChart>
    </c:plotArea>
    <c:plotVisOnly val="1"/>
    <c:dispBlanksAs val="gap"/>
    <c:showDLblsOverMax val="0"/>
  </c:chart>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lIns="2">
            <a:spAutoFit/>
          </a:bodyPr>
          <a:lstStyle/>
          <a:p>
            <a:pPr>
              <a:defRPr b="0"/>
            </a:pPr>
            <a:r>
              <a:rPr lang="en-US" b="0"/>
              <a:t>Energy</a:t>
            </a:r>
            <a:r>
              <a:rPr lang="en-US" b="0" baseline="0"/>
              <a:t> Use by Facility </a:t>
            </a:r>
          </a:p>
          <a:p>
            <a:pPr>
              <a:defRPr b="0"/>
            </a:pPr>
            <a:r>
              <a:rPr lang="en-US" b="0" baseline="0"/>
              <a:t>(MMBtu/yr)</a:t>
            </a:r>
          </a:p>
        </c:rich>
      </c:tx>
      <c:layout>
        <c:manualLayout>
          <c:xMode val="edge"/>
          <c:yMode val="edge"/>
          <c:x val="0.369183134366269"/>
          <c:y val="0.0912610619469026"/>
        </c:manualLayout>
      </c:layout>
      <c:overlay val="1"/>
      <c:spPr>
        <a:solidFill>
          <a:schemeClr val="bg1"/>
        </a:solidFill>
      </c:spPr>
    </c:title>
    <c:autoTitleDeleted val="0"/>
    <c:plotArea>
      <c:layout/>
      <c:barChart>
        <c:barDir val="col"/>
        <c:grouping val="clustered"/>
        <c:varyColors val="0"/>
        <c:ser>
          <c:idx val="0"/>
          <c:order val="0"/>
          <c:invertIfNegative val="0"/>
          <c:cat>
            <c:strRef>
              <c:f>'Tables and Figures'!$B$106:$B$129</c:f>
              <c:strCache>
                <c:ptCount val="24"/>
                <c:pt idx="0">
                  <c:v>Hwy Main Bldg</c:v>
                </c:pt>
                <c:pt idx="1">
                  <c:v>Public Safety Bldg</c:v>
                </c:pt>
                <c:pt idx="2">
                  <c:v>Town Hall</c:v>
                </c:pt>
                <c:pt idx="3">
                  <c:v>Senior Center</c:v>
                </c:pt>
                <c:pt idx="4">
                  <c:v>Hwy Storage Bldg</c:v>
                </c:pt>
                <c:pt idx="5">
                  <c:v>Locust Lane Pool</c:v>
                </c:pt>
                <c:pt idx="6">
                  <c:v>Grooms Tavern</c:v>
                </c:pt>
                <c:pt idx="7">
                  <c:v>Barney Rd Pool</c:v>
                </c:pt>
                <c:pt idx="8">
                  <c:v>B&amp;G Auto/Maint Bldg</c:v>
                </c:pt>
                <c:pt idx="9">
                  <c:v>C/C Softball Facility</c:v>
                </c:pt>
                <c:pt idx="10">
                  <c:v>C/C Soccer Facility</c:v>
                </c:pt>
                <c:pt idx="11">
                  <c:v>C/C Little League Facility</c:v>
                </c:pt>
                <c:pt idx="12">
                  <c:v>B&amp;G Workshop</c:v>
                </c:pt>
                <c:pt idx="13">
                  <c:v>Transfer Station</c:v>
                </c:pt>
                <c:pt idx="14">
                  <c:v>Burning Bush Pool</c:v>
                </c:pt>
                <c:pt idx="15">
                  <c:v>C/C Baseball Facility</c:v>
                </c:pt>
                <c:pt idx="16">
                  <c:v>C/C Garage</c:v>
                </c:pt>
                <c:pt idx="17">
                  <c:v>C/C Stage</c:v>
                </c:pt>
                <c:pt idx="18">
                  <c:v>Dog Park</c:v>
                </c:pt>
                <c:pt idx="19">
                  <c:v>Veterans Park</c:v>
                </c:pt>
                <c:pt idx="20">
                  <c:v>Collins Park</c:v>
                </c:pt>
                <c:pt idx="21">
                  <c:v>C/C Restrooms</c:v>
                </c:pt>
                <c:pt idx="22">
                  <c:v>Spirit Park</c:v>
                </c:pt>
                <c:pt idx="23">
                  <c:v>Mohawk Valley Grange Hall</c:v>
                </c:pt>
              </c:strCache>
            </c:strRef>
          </c:cat>
          <c:val>
            <c:numRef>
              <c:f>'Tables and Figures'!$H$106:$H$129</c:f>
              <c:numCache>
                <c:formatCode>#,##0.00_);\(#,##0.00\)</c:formatCode>
                <c:ptCount val="24"/>
                <c:pt idx="0">
                  <c:v>1548.03168</c:v>
                </c:pt>
                <c:pt idx="1">
                  <c:v>1225.766228</c:v>
                </c:pt>
                <c:pt idx="2">
                  <c:v>1003.90086</c:v>
                </c:pt>
                <c:pt idx="3">
                  <c:v>856.88016</c:v>
                </c:pt>
                <c:pt idx="4">
                  <c:v>423.334096</c:v>
                </c:pt>
                <c:pt idx="5">
                  <c:v>411.547512</c:v>
                </c:pt>
                <c:pt idx="6">
                  <c:v>345.288748</c:v>
                </c:pt>
                <c:pt idx="7">
                  <c:v>335.983052</c:v>
                </c:pt>
                <c:pt idx="8">
                  <c:v>257.883252</c:v>
                </c:pt>
                <c:pt idx="9">
                  <c:v>117.058896</c:v>
                </c:pt>
                <c:pt idx="10">
                  <c:v>238.27822</c:v>
                </c:pt>
                <c:pt idx="11">
                  <c:v>135.38816</c:v>
                </c:pt>
                <c:pt idx="12">
                  <c:v>67.7</c:v>
                </c:pt>
                <c:pt idx="13">
                  <c:v>55.93974</c:v>
                </c:pt>
                <c:pt idx="14">
                  <c:v>48.7</c:v>
                </c:pt>
                <c:pt idx="15">
                  <c:v>36.208144</c:v>
                </c:pt>
                <c:pt idx="16">
                  <c:v>33.297708</c:v>
                </c:pt>
                <c:pt idx="17">
                  <c:v>16.3776</c:v>
                </c:pt>
                <c:pt idx="18">
                  <c:v>10.962756</c:v>
                </c:pt>
                <c:pt idx="19">
                  <c:v>9.355704</c:v>
                </c:pt>
                <c:pt idx="20">
                  <c:v>7.090136</c:v>
                </c:pt>
                <c:pt idx="21">
                  <c:v>3.903328</c:v>
                </c:pt>
                <c:pt idx="22">
                  <c:v>0.0</c:v>
                </c:pt>
                <c:pt idx="23">
                  <c:v>0.0</c:v>
                </c:pt>
              </c:numCache>
            </c:numRef>
          </c:val>
        </c:ser>
        <c:dLbls>
          <c:showLegendKey val="0"/>
          <c:showVal val="0"/>
          <c:showCatName val="0"/>
          <c:showSerName val="0"/>
          <c:showPercent val="0"/>
          <c:showBubbleSize val="0"/>
        </c:dLbls>
        <c:gapWidth val="150"/>
        <c:axId val="2083326120"/>
        <c:axId val="2082704552"/>
      </c:barChart>
      <c:catAx>
        <c:axId val="2083326120"/>
        <c:scaling>
          <c:orientation val="minMax"/>
        </c:scaling>
        <c:delete val="0"/>
        <c:axPos val="b"/>
        <c:majorTickMark val="out"/>
        <c:minorTickMark val="none"/>
        <c:tickLblPos val="nextTo"/>
        <c:txPr>
          <a:bodyPr/>
          <a:lstStyle/>
          <a:p>
            <a:pPr>
              <a:defRPr b="0"/>
            </a:pPr>
            <a:endParaRPr lang="en-US"/>
          </a:p>
        </c:txPr>
        <c:crossAx val="2082704552"/>
        <c:crosses val="autoZero"/>
        <c:auto val="1"/>
        <c:lblAlgn val="ctr"/>
        <c:lblOffset val="100"/>
        <c:noMultiLvlLbl val="0"/>
      </c:catAx>
      <c:valAx>
        <c:axId val="2082704552"/>
        <c:scaling>
          <c:orientation val="minMax"/>
          <c:max val="1600.0"/>
        </c:scaling>
        <c:delete val="0"/>
        <c:axPos val="l"/>
        <c:majorGridlines/>
        <c:numFmt formatCode="#,##0.00_);\(#,##0.00\)" sourceLinked="1"/>
        <c:majorTickMark val="out"/>
        <c:minorTickMark val="none"/>
        <c:tickLblPos val="nextTo"/>
        <c:crossAx val="2083326120"/>
        <c:crosses val="autoZero"/>
        <c:crossBetween val="between"/>
      </c:valAx>
    </c:plotArea>
    <c:plotVisOnly val="1"/>
    <c:dispBlanksAs val="gap"/>
    <c:showDLblsOverMax val="0"/>
  </c:chart>
  <c:printSettings>
    <c:headerFooter/>
    <c:pageMargins b="1.0" l="0.75" r="0.75" t="1.0"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lIns="2">
            <a:spAutoFit/>
          </a:bodyPr>
          <a:lstStyle/>
          <a:p>
            <a:pPr>
              <a:defRPr b="0"/>
            </a:pPr>
            <a:r>
              <a:rPr lang="en-US" b="0"/>
              <a:t>Energy Cost by Facility </a:t>
            </a:r>
          </a:p>
          <a:p>
            <a:pPr>
              <a:defRPr b="0"/>
            </a:pPr>
            <a:r>
              <a:rPr lang="en-US" b="0"/>
              <a:t>(USD/yr)</a:t>
            </a:r>
          </a:p>
        </c:rich>
      </c:tx>
      <c:layout>
        <c:manualLayout>
          <c:xMode val="edge"/>
          <c:yMode val="edge"/>
          <c:x val="0.342458761997816"/>
          <c:y val="0.0966702032513196"/>
        </c:manualLayout>
      </c:layout>
      <c:overlay val="1"/>
      <c:spPr>
        <a:solidFill>
          <a:schemeClr val="bg1"/>
        </a:solidFill>
      </c:spPr>
    </c:title>
    <c:autoTitleDeleted val="0"/>
    <c:plotArea>
      <c:layout/>
      <c:barChart>
        <c:barDir val="col"/>
        <c:grouping val="clustered"/>
        <c:varyColors val="0"/>
        <c:ser>
          <c:idx val="0"/>
          <c:order val="0"/>
          <c:tx>
            <c:strRef>
              <c:f>'Tables and Figures'!$I$76</c:f>
              <c:strCache>
                <c:ptCount val="1"/>
                <c:pt idx="0">
                  <c:v>Total Energy Cost ($/yr)</c:v>
                </c:pt>
              </c:strCache>
            </c:strRef>
          </c:tx>
          <c:invertIfNegative val="0"/>
          <c:cat>
            <c:strRef>
              <c:f>'Tables and Figures'!$B$78:$B$101</c:f>
              <c:strCache>
                <c:ptCount val="24"/>
                <c:pt idx="0">
                  <c:v>C/C Little League Facility</c:v>
                </c:pt>
                <c:pt idx="1">
                  <c:v>Town Hall</c:v>
                </c:pt>
                <c:pt idx="2">
                  <c:v>Public Safety Bldg</c:v>
                </c:pt>
                <c:pt idx="3">
                  <c:v>Hwy Main Bldg</c:v>
                </c:pt>
                <c:pt idx="4">
                  <c:v>Senior Center</c:v>
                </c:pt>
                <c:pt idx="5">
                  <c:v>C/C Soccer Facility</c:v>
                </c:pt>
                <c:pt idx="6">
                  <c:v>Locust Lane Pool</c:v>
                </c:pt>
                <c:pt idx="7">
                  <c:v>C/C Softball Facility</c:v>
                </c:pt>
                <c:pt idx="8">
                  <c:v>Hwy Storage Bldg</c:v>
                </c:pt>
                <c:pt idx="9">
                  <c:v>B&amp;G Auto/Maint Bldg</c:v>
                </c:pt>
                <c:pt idx="10">
                  <c:v>Barney Rd Pool</c:v>
                </c:pt>
                <c:pt idx="11">
                  <c:v>Grooms Tavern</c:v>
                </c:pt>
                <c:pt idx="12">
                  <c:v>Transfer Station</c:v>
                </c:pt>
                <c:pt idx="13">
                  <c:v>C/C Baseball Facility</c:v>
                </c:pt>
                <c:pt idx="14">
                  <c:v>C/C Garage</c:v>
                </c:pt>
                <c:pt idx="15">
                  <c:v>Dog Park</c:v>
                </c:pt>
                <c:pt idx="16">
                  <c:v>C/C Stage</c:v>
                </c:pt>
                <c:pt idx="17">
                  <c:v>B&amp;G Workshop</c:v>
                </c:pt>
                <c:pt idx="18">
                  <c:v>Burning Bush Pool</c:v>
                </c:pt>
                <c:pt idx="19">
                  <c:v>Veterans Park</c:v>
                </c:pt>
                <c:pt idx="20">
                  <c:v>C/C Restrooms</c:v>
                </c:pt>
                <c:pt idx="21">
                  <c:v>Collins Park</c:v>
                </c:pt>
                <c:pt idx="22">
                  <c:v>Mohawk Valley Grange Hall</c:v>
                </c:pt>
                <c:pt idx="23">
                  <c:v>Spirit Park</c:v>
                </c:pt>
              </c:strCache>
            </c:strRef>
          </c:cat>
          <c:val>
            <c:numRef>
              <c:f>'Tables and Figures'!$I$78:$I$87</c:f>
              <c:numCache>
                <c:formatCode>_("$"* #,##0.00_);_("$"* \(#,##0.00\);_("$"* "-"??_);_(@_)</c:formatCode>
                <c:ptCount val="10"/>
                <c:pt idx="0">
                  <c:v>13623.43</c:v>
                </c:pt>
                <c:pt idx="1">
                  <c:v>12129.16</c:v>
                </c:pt>
                <c:pt idx="2">
                  <c:v>11901.56</c:v>
                </c:pt>
                <c:pt idx="3">
                  <c:v>8386.389999999999</c:v>
                </c:pt>
                <c:pt idx="4">
                  <c:v>7868.58</c:v>
                </c:pt>
                <c:pt idx="5">
                  <c:v>7435.0</c:v>
                </c:pt>
                <c:pt idx="6">
                  <c:v>5089.78</c:v>
                </c:pt>
                <c:pt idx="7">
                  <c:v>4860.870000000001</c:v>
                </c:pt>
                <c:pt idx="8">
                  <c:v>4141.950000000001</c:v>
                </c:pt>
                <c:pt idx="9">
                  <c:v>3542.11</c:v>
                </c:pt>
              </c:numCache>
            </c:numRef>
          </c:val>
        </c:ser>
        <c:dLbls>
          <c:showLegendKey val="0"/>
          <c:showVal val="0"/>
          <c:showCatName val="0"/>
          <c:showSerName val="0"/>
          <c:showPercent val="0"/>
          <c:showBubbleSize val="0"/>
        </c:dLbls>
        <c:gapWidth val="150"/>
        <c:axId val="2083253208"/>
        <c:axId val="2083256184"/>
      </c:barChart>
      <c:catAx>
        <c:axId val="2083253208"/>
        <c:scaling>
          <c:orientation val="minMax"/>
        </c:scaling>
        <c:delete val="0"/>
        <c:axPos val="b"/>
        <c:majorTickMark val="out"/>
        <c:minorTickMark val="none"/>
        <c:tickLblPos val="nextTo"/>
        <c:txPr>
          <a:bodyPr/>
          <a:lstStyle/>
          <a:p>
            <a:pPr>
              <a:defRPr b="0"/>
            </a:pPr>
            <a:endParaRPr lang="en-US"/>
          </a:p>
        </c:txPr>
        <c:crossAx val="2083256184"/>
        <c:crosses val="autoZero"/>
        <c:auto val="1"/>
        <c:lblAlgn val="ctr"/>
        <c:lblOffset val="100"/>
        <c:noMultiLvlLbl val="0"/>
      </c:catAx>
      <c:valAx>
        <c:axId val="2083256184"/>
        <c:scaling>
          <c:orientation val="minMax"/>
          <c:max val="14000.0"/>
        </c:scaling>
        <c:delete val="0"/>
        <c:axPos val="l"/>
        <c:majorGridlines/>
        <c:numFmt formatCode="_(&quot;$&quot;* #,##0.00_);_(&quot;$&quot;* \(#,##0.00\);_(&quot;$&quot;* &quot;-&quot;??_);_(@_)" sourceLinked="1"/>
        <c:majorTickMark val="out"/>
        <c:minorTickMark val="none"/>
        <c:tickLblPos val="nextTo"/>
        <c:crossAx val="2083253208"/>
        <c:crosses val="autoZero"/>
        <c:crossBetween val="between"/>
      </c:valAx>
    </c:plotArea>
    <c:plotVisOnly val="1"/>
    <c:dispBlanksAs val="gap"/>
    <c:showDLblsOverMax val="0"/>
  </c:chart>
  <c:printSettings>
    <c:headerFooter/>
    <c:pageMargins b="1.0" l="0.75" r="0.75" t="1.0"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lIns="2">
            <a:spAutoFit/>
          </a:bodyPr>
          <a:lstStyle/>
          <a:p>
            <a:pPr>
              <a:defRPr b="0"/>
            </a:pPr>
            <a:r>
              <a:rPr lang="en-US" b="0"/>
              <a:t>GHG Emissions from Outdoor</a:t>
            </a:r>
            <a:r>
              <a:rPr lang="en-US" b="0" baseline="0"/>
              <a:t> Lighting</a:t>
            </a:r>
          </a:p>
        </c:rich>
      </c:tx>
      <c:layout/>
      <c:overlay val="0"/>
    </c:title>
    <c:autoTitleDeleted val="0"/>
    <c:plotArea>
      <c:layout/>
      <c:pieChart>
        <c:varyColors val="1"/>
        <c:ser>
          <c:idx val="0"/>
          <c:order val="0"/>
          <c:explosion val="25"/>
          <c:dPt>
            <c:idx val="0"/>
            <c:bubble3D val="0"/>
            <c:spPr>
              <a:solidFill>
                <a:schemeClr val="accent1">
                  <a:lumMod val="60000"/>
                  <a:lumOff val="40000"/>
                </a:schemeClr>
              </a:solidFill>
            </c:spPr>
          </c:dPt>
          <c:dPt>
            <c:idx val="1"/>
            <c:bubble3D val="0"/>
            <c:spPr>
              <a:solidFill>
                <a:schemeClr val="accent3">
                  <a:lumMod val="60000"/>
                  <a:lumOff val="40000"/>
                </a:schemeClr>
              </a:solidFill>
            </c:spPr>
          </c:dPt>
          <c:dPt>
            <c:idx val="2"/>
            <c:bubble3D val="0"/>
            <c:spPr>
              <a:solidFill>
                <a:schemeClr val="accent4">
                  <a:lumMod val="60000"/>
                  <a:lumOff val="40000"/>
                </a:schemeClr>
              </a:solidFill>
            </c:spPr>
          </c:dPt>
          <c:dPt>
            <c:idx val="3"/>
            <c:bubble3D val="0"/>
            <c:spPr>
              <a:solidFill>
                <a:schemeClr val="accent5">
                  <a:lumMod val="75000"/>
                </a:schemeClr>
              </a:solidFill>
            </c:spPr>
          </c:dPt>
          <c:dLbls>
            <c:txPr>
              <a:bodyPr/>
              <a:lstStyle/>
              <a:p>
                <a:pPr>
                  <a:defRPr b="0"/>
                </a:pPr>
                <a:endParaRPr lang="en-US"/>
              </a:p>
            </c:txPr>
            <c:dLblPos val="bestFit"/>
            <c:showLegendKey val="0"/>
            <c:showVal val="0"/>
            <c:showCatName val="1"/>
            <c:showSerName val="0"/>
            <c:showPercent val="1"/>
            <c:showBubbleSize val="0"/>
            <c:showLeaderLines val="1"/>
          </c:dLbls>
          <c:cat>
            <c:strRef>
              <c:f>'Tables and Figures'!$B$135:$B$138</c:f>
              <c:strCache>
                <c:ptCount val="4"/>
                <c:pt idx="0">
                  <c:v>Street/Area Lighting</c:v>
                </c:pt>
                <c:pt idx="1">
                  <c:v>Park Entrance Lights</c:v>
                </c:pt>
                <c:pt idx="2">
                  <c:v>Traffic Signals</c:v>
                </c:pt>
                <c:pt idx="3">
                  <c:v>Signs</c:v>
                </c:pt>
              </c:strCache>
            </c:strRef>
          </c:cat>
          <c:val>
            <c:numRef>
              <c:f>'Tables and Figures'!$G$135:$G$138</c:f>
              <c:numCache>
                <c:formatCode>0.00</c:formatCode>
                <c:ptCount val="4"/>
                <c:pt idx="0">
                  <c:v>168.94505380002</c:v>
                </c:pt>
                <c:pt idx="1">
                  <c:v>27.95051985650135</c:v>
                </c:pt>
                <c:pt idx="2">
                  <c:v>13.5856753246183</c:v>
                </c:pt>
                <c:pt idx="3">
                  <c:v>1.308125527392476</c:v>
                </c:pt>
              </c:numCache>
            </c:numRef>
          </c:val>
        </c:ser>
        <c:dLbls>
          <c:showLegendKey val="0"/>
          <c:showVal val="0"/>
          <c:showCatName val="0"/>
          <c:showSerName val="0"/>
          <c:showPercent val="0"/>
          <c:showBubbleSize val="0"/>
          <c:showLeaderLines val="1"/>
        </c:dLbls>
        <c:firstSliceAng val="100"/>
      </c:pieChart>
    </c:plotArea>
    <c:plotVisOnly val="1"/>
    <c:dispBlanksAs val="gap"/>
    <c:showDLblsOverMax val="0"/>
  </c:chart>
  <c:printSettings>
    <c:headerFooter/>
    <c:pageMargins b="1.0" l="0.75" r="0.75" t="1.0"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lIns="2">
            <a:spAutoFit/>
          </a:bodyPr>
          <a:lstStyle/>
          <a:p>
            <a:pPr algn="ctr">
              <a:defRPr b="0"/>
            </a:pPr>
            <a:r>
              <a:rPr lang="en-US" b="0"/>
              <a:t>GHG Emissions from Town Buildings</a:t>
            </a:r>
          </a:p>
        </c:rich>
      </c:tx>
      <c:layout>
        <c:manualLayout>
          <c:xMode val="edge"/>
          <c:yMode val="edge"/>
          <c:x val="0.19459806983747"/>
          <c:y val="0.0929054054054054"/>
        </c:manualLayout>
      </c:layout>
      <c:overlay val="0"/>
    </c:title>
    <c:autoTitleDeleted val="0"/>
    <c:plotArea>
      <c:layout/>
      <c:pieChart>
        <c:varyColors val="1"/>
        <c:ser>
          <c:idx val="0"/>
          <c:order val="0"/>
          <c:explosion val="25"/>
          <c:dPt>
            <c:idx val="0"/>
            <c:bubble3D val="0"/>
            <c:spPr>
              <a:solidFill>
                <a:schemeClr val="accent6">
                  <a:lumMod val="75000"/>
                </a:schemeClr>
              </a:solidFill>
            </c:spPr>
          </c:dPt>
          <c:dPt>
            <c:idx val="1"/>
            <c:bubble3D val="0"/>
            <c:spPr>
              <a:solidFill>
                <a:schemeClr val="accent5">
                  <a:lumMod val="75000"/>
                </a:schemeClr>
              </a:solidFill>
            </c:spPr>
          </c:dPt>
          <c:dPt>
            <c:idx val="2"/>
            <c:bubble3D val="0"/>
            <c:spPr>
              <a:solidFill>
                <a:schemeClr val="accent4">
                  <a:lumMod val="75000"/>
                </a:schemeClr>
              </a:solidFill>
            </c:spPr>
          </c:dPt>
          <c:dPt>
            <c:idx val="3"/>
            <c:bubble3D val="0"/>
            <c:spPr>
              <a:solidFill>
                <a:schemeClr val="accent3">
                  <a:lumMod val="75000"/>
                </a:schemeClr>
              </a:solidFill>
            </c:spPr>
          </c:dPt>
          <c:dPt>
            <c:idx val="4"/>
            <c:bubble3D val="0"/>
            <c:spPr>
              <a:solidFill>
                <a:schemeClr val="accent2">
                  <a:lumMod val="75000"/>
                </a:schemeClr>
              </a:solidFill>
            </c:spPr>
          </c:dPt>
          <c:dPt>
            <c:idx val="5"/>
            <c:bubble3D val="0"/>
            <c:spPr>
              <a:solidFill>
                <a:schemeClr val="accent1">
                  <a:lumMod val="75000"/>
                </a:schemeClr>
              </a:solidFill>
            </c:spPr>
          </c:dPt>
          <c:dLbls>
            <c:txPr>
              <a:bodyPr/>
              <a:lstStyle/>
              <a:p>
                <a:pPr>
                  <a:defRPr b="0"/>
                </a:pPr>
                <a:endParaRPr lang="en-US"/>
              </a:p>
            </c:txPr>
            <c:dLblPos val="bestFit"/>
            <c:showLegendKey val="0"/>
            <c:showVal val="0"/>
            <c:showCatName val="1"/>
            <c:showSerName val="0"/>
            <c:showPercent val="1"/>
            <c:showBubbleSize val="0"/>
            <c:showLeaderLines val="1"/>
          </c:dLbls>
          <c:cat>
            <c:strRef>
              <c:f>'Tables and Figures'!$B$27:$B$32</c:f>
              <c:strCache>
                <c:ptCount val="6"/>
                <c:pt idx="0">
                  <c:v>Admin Bldgs</c:v>
                </c:pt>
                <c:pt idx="1">
                  <c:v>Hwy Garages</c:v>
                </c:pt>
                <c:pt idx="2">
                  <c:v>Town Pools</c:v>
                </c:pt>
                <c:pt idx="3">
                  <c:v>Clifton Commons</c:v>
                </c:pt>
                <c:pt idx="4">
                  <c:v>B&amp;G Garages</c:v>
                </c:pt>
                <c:pt idx="5">
                  <c:v>Town Parks</c:v>
                </c:pt>
              </c:strCache>
            </c:strRef>
          </c:cat>
          <c:val>
            <c:numRef>
              <c:f>'Tables and Figures'!$G$27:$G$32</c:f>
              <c:numCache>
                <c:formatCode>_(* #,##0.00_);_(* \(#,##0.00\);_(* "-"??_);_(@_)</c:formatCode>
                <c:ptCount val="6"/>
                <c:pt idx="0">
                  <c:v>238.6356748757609</c:v>
                </c:pt>
                <c:pt idx="1">
                  <c:v>115.5376944498553</c:v>
                </c:pt>
                <c:pt idx="2">
                  <c:v>58.1032361305259</c:v>
                </c:pt>
                <c:pt idx="3">
                  <c:v>44.06210101626583</c:v>
                </c:pt>
                <c:pt idx="4">
                  <c:v>20.13150205708013</c:v>
                </c:pt>
                <c:pt idx="5">
                  <c:v>2.322671737950305</c:v>
                </c:pt>
              </c:numCache>
            </c:numRef>
          </c:val>
        </c:ser>
        <c:dLbls>
          <c:showLegendKey val="0"/>
          <c:showVal val="0"/>
          <c:showCatName val="1"/>
          <c:showSerName val="0"/>
          <c:showPercent val="1"/>
          <c:showBubbleSize val="0"/>
          <c:showLeaderLines val="1"/>
        </c:dLbls>
        <c:firstSliceAng val="145"/>
      </c:pieChart>
    </c:plotArea>
    <c:plotVisOnly val="1"/>
    <c:dispBlanksAs val="gap"/>
    <c:showDLblsOverMax val="0"/>
  </c:chart>
  <c:printSettings>
    <c:headerFooter/>
    <c:pageMargins b="1.0" l="0.75" r="0.75" t="1.0"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Energy Cost by Fuel Type</a:t>
            </a:r>
          </a:p>
        </c:rich>
      </c:tx>
      <c:overlay val="0"/>
    </c:title>
    <c:autoTitleDeleted val="0"/>
    <c:plotArea>
      <c:layout/>
      <c:pieChart>
        <c:varyColors val="1"/>
        <c:ser>
          <c:idx val="0"/>
          <c:order val="0"/>
          <c:explosion val="25"/>
          <c:dPt>
            <c:idx val="0"/>
            <c:bubble3D val="0"/>
            <c:spPr>
              <a:solidFill>
                <a:schemeClr val="accent6">
                  <a:lumMod val="75000"/>
                </a:schemeClr>
              </a:solidFill>
            </c:spPr>
          </c:dPt>
          <c:dPt>
            <c:idx val="1"/>
            <c:bubble3D val="0"/>
            <c:spPr>
              <a:solidFill>
                <a:schemeClr val="bg2">
                  <a:lumMod val="25000"/>
                </a:schemeClr>
              </a:solidFill>
            </c:spPr>
          </c:dPt>
          <c:dPt>
            <c:idx val="2"/>
            <c:bubble3D val="0"/>
            <c:spPr>
              <a:solidFill>
                <a:schemeClr val="bg1">
                  <a:lumMod val="50000"/>
                </a:schemeClr>
              </a:solidFill>
            </c:spPr>
          </c:dPt>
          <c:dPt>
            <c:idx val="3"/>
            <c:bubble3D val="0"/>
            <c:spPr>
              <a:solidFill>
                <a:schemeClr val="tx2">
                  <a:lumMod val="75000"/>
                </a:schemeClr>
              </a:solidFill>
            </c:spPr>
          </c:dPt>
          <c:dLbls>
            <c:dLbl>
              <c:idx val="3"/>
              <c:layout>
                <c:manualLayout>
                  <c:x val="0.094810197336444"/>
                  <c:y val="-0.00362645328178743"/>
                </c:manualLayout>
              </c:layout>
              <c:showLegendKey val="0"/>
              <c:showVal val="0"/>
              <c:showCatName val="1"/>
              <c:showSerName val="0"/>
              <c:showPercent val="1"/>
              <c:showBubbleSize val="0"/>
            </c:dLbl>
            <c:showLegendKey val="0"/>
            <c:showVal val="0"/>
            <c:showCatName val="1"/>
            <c:showSerName val="0"/>
            <c:showPercent val="1"/>
            <c:showBubbleSize val="0"/>
            <c:showLeaderLines val="1"/>
          </c:dLbls>
          <c:cat>
            <c:strRef>
              <c:f>'Tables and Figures'!$B$181:$B$185</c:f>
              <c:strCache>
                <c:ptCount val="5"/>
                <c:pt idx="0">
                  <c:v>Electricity</c:v>
                </c:pt>
                <c:pt idx="1">
                  <c:v>Gasoline</c:v>
                </c:pt>
                <c:pt idx="2">
                  <c:v>Diesel</c:v>
                </c:pt>
                <c:pt idx="3">
                  <c:v>Natural Gas</c:v>
                </c:pt>
                <c:pt idx="4">
                  <c:v>Propane</c:v>
                </c:pt>
              </c:strCache>
            </c:strRef>
          </c:cat>
          <c:val>
            <c:numRef>
              <c:f>'Tables and Figures'!$F$181:$F$185</c:f>
              <c:numCache>
                <c:formatCode>_("$"* #,##0.00_);_("$"* \(#,##0.00\);_("$"* "-"??_);_(@_)</c:formatCode>
                <c:ptCount val="5"/>
                <c:pt idx="0">
                  <c:v>255609.5391257983</c:v>
                </c:pt>
                <c:pt idx="1">
                  <c:v>170777.0</c:v>
                </c:pt>
                <c:pt idx="2">
                  <c:v>119616.0</c:v>
                </c:pt>
                <c:pt idx="3">
                  <c:v>25734.98</c:v>
                </c:pt>
                <c:pt idx="4">
                  <c:v>0.0</c:v>
                </c:pt>
              </c:numCache>
            </c:numRef>
          </c:val>
        </c:ser>
        <c:dLbls>
          <c:showLegendKey val="0"/>
          <c:showVal val="0"/>
          <c:showCatName val="0"/>
          <c:showSerName val="0"/>
          <c:showPercent val="0"/>
          <c:showBubbleSize val="0"/>
          <c:showLeaderLines val="1"/>
        </c:dLbls>
        <c:firstSliceAng val="215"/>
      </c:pieChart>
    </c:plotArea>
    <c:plotVisOnly val="1"/>
    <c:dispBlanksAs val="gap"/>
    <c:showDLblsOverMax val="0"/>
  </c:chart>
  <c:txPr>
    <a:bodyPr/>
    <a:lstStyle/>
    <a:p>
      <a:pPr>
        <a:defRPr b="0"/>
      </a:pPr>
      <a:endParaRPr lang="en-US"/>
    </a:p>
  </c:txPr>
  <c:printSettings>
    <c:headerFooter/>
    <c:pageMargins b="1.0" l="0.75" r="0.75" t="1.0"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ctr" rtl="0">
              <a:defRPr/>
            </a:pPr>
            <a:r>
              <a:rPr lang="en-US"/>
              <a:t>Energy Use by Fuel Type</a:t>
            </a:r>
          </a:p>
          <a:p>
            <a:pPr algn="ctr" rtl="0">
              <a:defRPr/>
            </a:pPr>
            <a:r>
              <a:rPr lang="en-US"/>
              <a:t> </a:t>
            </a:r>
          </a:p>
        </c:rich>
      </c:tx>
      <c:overlay val="0"/>
    </c:title>
    <c:autoTitleDeleted val="0"/>
    <c:plotArea>
      <c:layout/>
      <c:pieChart>
        <c:varyColors val="1"/>
        <c:ser>
          <c:idx val="0"/>
          <c:order val="0"/>
          <c:tx>
            <c:v>Energy Use by Fuel Type</c:v>
          </c:tx>
          <c:explosion val="25"/>
          <c:dPt>
            <c:idx val="0"/>
            <c:bubble3D val="0"/>
            <c:spPr>
              <a:solidFill>
                <a:schemeClr val="bg2">
                  <a:lumMod val="25000"/>
                </a:schemeClr>
              </a:solidFill>
            </c:spPr>
          </c:dPt>
          <c:dPt>
            <c:idx val="1"/>
            <c:bubble3D val="0"/>
            <c:spPr>
              <a:solidFill>
                <a:schemeClr val="accent6">
                  <a:lumMod val="75000"/>
                </a:schemeClr>
              </a:solidFill>
            </c:spPr>
          </c:dPt>
          <c:dPt>
            <c:idx val="2"/>
            <c:bubble3D val="0"/>
            <c:spPr>
              <a:solidFill>
                <a:schemeClr val="bg1">
                  <a:lumMod val="50000"/>
                </a:schemeClr>
              </a:solidFill>
            </c:spPr>
          </c:dPt>
          <c:dPt>
            <c:idx val="3"/>
            <c:bubble3D val="0"/>
            <c:spPr>
              <a:solidFill>
                <a:schemeClr val="tx2">
                  <a:lumMod val="75000"/>
                </a:schemeClr>
              </a:solidFill>
            </c:spPr>
          </c:dPt>
          <c:dLbls>
            <c:dLbl>
              <c:idx val="3"/>
              <c:layout>
                <c:manualLayout>
                  <c:x val="0.0601563808845703"/>
                  <c:y val="-0.00162990947239379"/>
                </c:manualLayout>
              </c:layout>
              <c:showLegendKey val="0"/>
              <c:showVal val="0"/>
              <c:showCatName val="1"/>
              <c:showSerName val="0"/>
              <c:showPercent val="1"/>
              <c:showBubbleSize val="0"/>
            </c:dLbl>
            <c:showLegendKey val="0"/>
            <c:showVal val="0"/>
            <c:showCatName val="1"/>
            <c:showSerName val="0"/>
            <c:showPercent val="1"/>
            <c:showBubbleSize val="0"/>
            <c:showLeaderLines val="1"/>
          </c:dLbls>
          <c:cat>
            <c:strRef>
              <c:f>'Tables and Figures'!$B$193:$B$197</c:f>
              <c:strCache>
                <c:ptCount val="5"/>
                <c:pt idx="0">
                  <c:v>Gasoline</c:v>
                </c:pt>
                <c:pt idx="1">
                  <c:v>Electricity</c:v>
                </c:pt>
                <c:pt idx="2">
                  <c:v>Diesel</c:v>
                </c:pt>
                <c:pt idx="3">
                  <c:v>Natural Gas</c:v>
                </c:pt>
                <c:pt idx="4">
                  <c:v>Propane</c:v>
                </c:pt>
              </c:strCache>
            </c:strRef>
          </c:cat>
          <c:val>
            <c:numRef>
              <c:f>'Tables and Figures'!$E$193:$E$197</c:f>
              <c:numCache>
                <c:formatCode>#,##0.00_);\(#,##0.00\)</c:formatCode>
                <c:ptCount val="5"/>
                <c:pt idx="0">
                  <c:v>7466.28227</c:v>
                </c:pt>
                <c:pt idx="1">
                  <c:v>6097.834276</c:v>
                </c:pt>
                <c:pt idx="2">
                  <c:v>5573.2508</c:v>
                </c:pt>
                <c:pt idx="3">
                  <c:v>4221.5</c:v>
                </c:pt>
                <c:pt idx="4">
                  <c:v>0.0</c:v>
                </c:pt>
              </c:numCache>
            </c:numRef>
          </c:val>
        </c:ser>
        <c:dLbls>
          <c:showLegendKey val="0"/>
          <c:showVal val="0"/>
          <c:showCatName val="0"/>
          <c:showSerName val="0"/>
          <c:showPercent val="0"/>
          <c:showBubbleSize val="0"/>
          <c:showLeaderLines val="1"/>
        </c:dLbls>
        <c:firstSliceAng val="215"/>
      </c:pieChart>
    </c:plotArea>
    <c:plotVisOnly val="1"/>
    <c:dispBlanksAs val="gap"/>
    <c:showDLblsOverMax val="0"/>
  </c:chart>
  <c:txPr>
    <a:bodyPr/>
    <a:lstStyle/>
    <a:p>
      <a:pPr>
        <a:defRPr b="0"/>
      </a:pPr>
      <a:endParaRPr lang="en-US"/>
    </a:p>
  </c:txPr>
  <c:printSettings>
    <c:headerFooter/>
    <c:pageMargins b="1.0" l="0.75" r="0.75" t="1.0"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GHG Emissions by Fuel Type</a:t>
            </a:r>
          </a:p>
        </c:rich>
      </c:tx>
      <c:overlay val="0"/>
    </c:title>
    <c:autoTitleDeleted val="0"/>
    <c:plotArea>
      <c:layout/>
      <c:pieChart>
        <c:varyColors val="1"/>
        <c:ser>
          <c:idx val="0"/>
          <c:order val="0"/>
          <c:tx>
            <c:strRef>
              <c:f>'Tables and Figures'!$D$168</c:f>
              <c:strCache>
                <c:ptCount val="1"/>
                <c:pt idx="0">
                  <c:v>CO2e (metric tons/yr)</c:v>
                </c:pt>
              </c:strCache>
            </c:strRef>
          </c:tx>
          <c:explosion val="25"/>
          <c:dPt>
            <c:idx val="0"/>
            <c:bubble3D val="0"/>
            <c:spPr>
              <a:solidFill>
                <a:schemeClr val="bg2">
                  <a:lumMod val="25000"/>
                </a:schemeClr>
              </a:solidFill>
            </c:spPr>
          </c:dPt>
          <c:dPt>
            <c:idx val="1"/>
            <c:bubble3D val="0"/>
            <c:spPr>
              <a:solidFill>
                <a:schemeClr val="accent6">
                  <a:lumMod val="75000"/>
                </a:schemeClr>
              </a:solidFill>
            </c:spPr>
          </c:dPt>
          <c:dPt>
            <c:idx val="2"/>
            <c:bubble3D val="0"/>
            <c:spPr>
              <a:solidFill>
                <a:schemeClr val="bg1">
                  <a:lumMod val="50000"/>
                </a:schemeClr>
              </a:solidFill>
            </c:spPr>
          </c:dPt>
          <c:dPt>
            <c:idx val="3"/>
            <c:bubble3D val="0"/>
            <c:spPr>
              <a:solidFill>
                <a:schemeClr val="tx2">
                  <a:lumMod val="75000"/>
                </a:schemeClr>
              </a:solidFill>
            </c:spPr>
          </c:dPt>
          <c:dLbls>
            <c:dLbl>
              <c:idx val="3"/>
              <c:layout>
                <c:manualLayout>
                  <c:x val="0.109769866671903"/>
                  <c:y val="0.0"/>
                </c:manualLayout>
              </c:layout>
              <c:showLegendKey val="0"/>
              <c:showVal val="0"/>
              <c:showCatName val="1"/>
              <c:showSerName val="0"/>
              <c:showPercent val="1"/>
              <c:showBubbleSize val="0"/>
            </c:dLbl>
            <c:showLegendKey val="0"/>
            <c:showVal val="0"/>
            <c:showCatName val="1"/>
            <c:showSerName val="0"/>
            <c:showPercent val="1"/>
            <c:showBubbleSize val="0"/>
            <c:showLeaderLines val="1"/>
          </c:dLbls>
          <c:cat>
            <c:strRef>
              <c:f>'Tables and Figures'!$B$169:$B$173</c:f>
              <c:strCache>
                <c:ptCount val="5"/>
                <c:pt idx="0">
                  <c:v>Gasoline</c:v>
                </c:pt>
                <c:pt idx="1">
                  <c:v>Electricity</c:v>
                </c:pt>
                <c:pt idx="2">
                  <c:v>Diesel</c:v>
                </c:pt>
                <c:pt idx="3">
                  <c:v>Natural Gas</c:v>
                </c:pt>
                <c:pt idx="4">
                  <c:v>Propane</c:v>
                </c:pt>
              </c:strCache>
            </c:strRef>
          </c:cat>
          <c:val>
            <c:numRef>
              <c:f>'Tables and Figures'!$D$169:$D$173</c:f>
              <c:numCache>
                <c:formatCode>#,##0.00_);\(#,##0.00\)</c:formatCode>
                <c:ptCount val="5"/>
                <c:pt idx="0">
                  <c:v>533.8768556</c:v>
                </c:pt>
                <c:pt idx="1">
                  <c:v>509.8902122500749</c:v>
                </c:pt>
                <c:pt idx="2">
                  <c:v>412.50519596</c:v>
                </c:pt>
                <c:pt idx="3">
                  <c:v>229.56517</c:v>
                </c:pt>
                <c:pt idx="4">
                  <c:v>0.0</c:v>
                </c:pt>
              </c:numCache>
            </c:numRef>
          </c:val>
        </c:ser>
        <c:dLbls>
          <c:showLegendKey val="0"/>
          <c:showVal val="0"/>
          <c:showCatName val="0"/>
          <c:showSerName val="0"/>
          <c:showPercent val="0"/>
          <c:showBubbleSize val="0"/>
          <c:showLeaderLines val="1"/>
        </c:dLbls>
        <c:firstSliceAng val="215"/>
      </c:pieChart>
    </c:plotArea>
    <c:plotVisOnly val="1"/>
    <c:dispBlanksAs val="gap"/>
    <c:showDLblsOverMax val="0"/>
  </c:chart>
  <c:txPr>
    <a:bodyPr/>
    <a:lstStyle/>
    <a:p>
      <a:pPr>
        <a:defRPr b="0"/>
      </a:pPr>
      <a:endParaRPr lang="en-US"/>
    </a:p>
  </c:txPr>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emf"/><Relationship Id="rId3" Type="http://schemas.openxmlformats.org/officeDocument/2006/relationships/image" Target="../media/image3.png"/></Relationships>
</file>

<file path=xl/drawings/_rels/drawing2.xml.rels><?xml version="1.0" encoding="UTF-8" standalone="yes"?>
<Relationships xmlns="http://schemas.openxmlformats.org/package/2006/relationships"><Relationship Id="rId11" Type="http://schemas.openxmlformats.org/officeDocument/2006/relationships/chart" Target="../charts/chart11.xml"/><Relationship Id="rId12" Type="http://schemas.openxmlformats.org/officeDocument/2006/relationships/chart" Target="../charts/chart12.xml"/><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10</xdr:col>
      <xdr:colOff>101600</xdr:colOff>
      <xdr:row>3</xdr:row>
      <xdr:rowOff>172720</xdr:rowOff>
    </xdr:from>
    <xdr:to>
      <xdr:col>12</xdr:col>
      <xdr:colOff>375920</xdr:colOff>
      <xdr:row>8</xdr:row>
      <xdr:rowOff>0</xdr:rowOff>
    </xdr:to>
    <xdr:pic>
      <xdr:nvPicPr>
        <xdr:cNvPr id="2" name="Picture 1" descr="300-px-wide-transparent.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627360" y="822960"/>
          <a:ext cx="2316480" cy="772160"/>
        </a:xfrm>
        <a:prstGeom prst="rect">
          <a:avLst/>
        </a:prstGeom>
        <a:solidFill>
          <a:schemeClr val="bg1"/>
        </a:solidFill>
        <a:ln>
          <a:solidFill>
            <a:schemeClr val="bg2">
              <a:lumMod val="75000"/>
            </a:schemeClr>
          </a:solidFill>
        </a:ln>
      </xdr:spPr>
    </xdr:pic>
    <xdr:clientData/>
  </xdr:twoCellAnchor>
  <xdr:twoCellAnchor editAs="oneCell">
    <xdr:from>
      <xdr:col>1</xdr:col>
      <xdr:colOff>142240</xdr:colOff>
      <xdr:row>3</xdr:row>
      <xdr:rowOff>40640</xdr:rowOff>
    </xdr:from>
    <xdr:to>
      <xdr:col>1</xdr:col>
      <xdr:colOff>1158240</xdr:colOff>
      <xdr:row>8</xdr:row>
      <xdr:rowOff>111760</xdr:rowOff>
    </xdr:to>
    <xdr:pic>
      <xdr:nvPicPr>
        <xdr:cNvPr id="3" name="Picture 2" descr="CSClogo_color.eps"/>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3680" y="680720"/>
          <a:ext cx="1016000" cy="1016000"/>
        </a:xfrm>
        <a:prstGeom prst="rect">
          <a:avLst/>
        </a:prstGeom>
      </xdr:spPr>
    </xdr:pic>
    <xdr:clientData/>
  </xdr:twoCellAnchor>
  <xdr:twoCellAnchor editAs="oneCell">
    <xdr:from>
      <xdr:col>10</xdr:col>
      <xdr:colOff>96005</xdr:colOff>
      <xdr:row>8</xdr:row>
      <xdr:rowOff>132080</xdr:rowOff>
    </xdr:from>
    <xdr:to>
      <xdr:col>10</xdr:col>
      <xdr:colOff>1079499</xdr:colOff>
      <xdr:row>13</xdr:row>
      <xdr:rowOff>127000</xdr:rowOff>
    </xdr:to>
    <xdr:pic>
      <xdr:nvPicPr>
        <xdr:cNvPr id="4" name="Picture 3" descr="cdrpc_logo.bmp"/>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692885" y="1727200"/>
          <a:ext cx="983494" cy="9194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152400</xdr:colOff>
      <xdr:row>0</xdr:row>
      <xdr:rowOff>50800</xdr:rowOff>
    </xdr:from>
    <xdr:to>
      <xdr:col>13</xdr:col>
      <xdr:colOff>264160</xdr:colOff>
      <xdr:row>10</xdr:row>
      <xdr:rowOff>91440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193040</xdr:colOff>
      <xdr:row>11</xdr:row>
      <xdr:rowOff>10160</xdr:rowOff>
    </xdr:from>
    <xdr:to>
      <xdr:col>13</xdr:col>
      <xdr:colOff>294640</xdr:colOff>
      <xdr:row>20</xdr:row>
      <xdr:rowOff>81280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132080</xdr:colOff>
      <xdr:row>105</xdr:row>
      <xdr:rowOff>20320</xdr:rowOff>
    </xdr:from>
    <xdr:to>
      <xdr:col>18</xdr:col>
      <xdr:colOff>30480</xdr:colOff>
      <xdr:row>127</xdr:row>
      <xdr:rowOff>10160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172720</xdr:colOff>
      <xdr:row>75</xdr:row>
      <xdr:rowOff>193040</xdr:rowOff>
    </xdr:from>
    <xdr:to>
      <xdr:col>14</xdr:col>
      <xdr:colOff>751840</xdr:colOff>
      <xdr:row>93</xdr:row>
      <xdr:rowOff>60960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152400</xdr:colOff>
      <xdr:row>131</xdr:row>
      <xdr:rowOff>40640</xdr:rowOff>
    </xdr:from>
    <xdr:to>
      <xdr:col>13</xdr:col>
      <xdr:colOff>335280</xdr:colOff>
      <xdr:row>145</xdr:row>
      <xdr:rowOff>71120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243840</xdr:colOff>
      <xdr:row>20</xdr:row>
      <xdr:rowOff>162560</xdr:rowOff>
    </xdr:from>
    <xdr:to>
      <xdr:col>15</xdr:col>
      <xdr:colOff>121920</xdr:colOff>
      <xdr:row>35</xdr:row>
      <xdr:rowOff>182880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233680</xdr:colOff>
      <xdr:row>175</xdr:row>
      <xdr:rowOff>152400</xdr:rowOff>
    </xdr:from>
    <xdr:to>
      <xdr:col>9</xdr:col>
      <xdr:colOff>711200</xdr:colOff>
      <xdr:row>191</xdr:row>
      <xdr:rowOff>233680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71120</xdr:colOff>
      <xdr:row>191</xdr:row>
      <xdr:rowOff>345440</xdr:rowOff>
    </xdr:from>
    <xdr:to>
      <xdr:col>10</xdr:col>
      <xdr:colOff>254000</xdr:colOff>
      <xdr:row>209</xdr:row>
      <xdr:rowOff>91440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182880</xdr:colOff>
      <xdr:row>161</xdr:row>
      <xdr:rowOff>20320</xdr:rowOff>
    </xdr:from>
    <xdr:to>
      <xdr:col>10</xdr:col>
      <xdr:colOff>619760</xdr:colOff>
      <xdr:row>174</xdr:row>
      <xdr:rowOff>162560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101600</xdr:colOff>
      <xdr:row>145</xdr:row>
      <xdr:rowOff>101600</xdr:rowOff>
    </xdr:from>
    <xdr:to>
      <xdr:col>14</xdr:col>
      <xdr:colOff>10160</xdr:colOff>
      <xdr:row>160</xdr:row>
      <xdr:rowOff>50800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142240</xdr:colOff>
      <xdr:row>35</xdr:row>
      <xdr:rowOff>325120</xdr:rowOff>
    </xdr:from>
    <xdr:to>
      <xdr:col>14</xdr:col>
      <xdr:colOff>142240</xdr:colOff>
      <xdr:row>51</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182880</xdr:colOff>
      <xdr:row>54</xdr:row>
      <xdr:rowOff>30480</xdr:rowOff>
    </xdr:from>
    <xdr:to>
      <xdr:col>14</xdr:col>
      <xdr:colOff>528320</xdr:colOff>
      <xdr:row>70</xdr:row>
      <xdr:rowOff>91440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xdr:col>
      <xdr:colOff>38100</xdr:colOff>
      <xdr:row>0</xdr:row>
      <xdr:rowOff>28575</xdr:rowOff>
    </xdr:from>
    <xdr:ext cx="4048125" cy="962025"/>
    <xdr:sp macro="" textlink="">
      <xdr:nvSpPr>
        <xdr:cNvPr id="2" name="TextBox 1"/>
        <xdr:cNvSpPr txBox="1"/>
      </xdr:nvSpPr>
      <xdr:spPr>
        <a:xfrm>
          <a:off x="1190625" y="28575"/>
          <a:ext cx="4048125" cy="962025"/>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800"/>
            <a:t>Clifton Park </a:t>
          </a:r>
          <a:r>
            <a:rPr lang="en-US" sz="1800" baseline="0"/>
            <a:t>Fuel Oil and Propane </a:t>
          </a:r>
        </a:p>
        <a:p>
          <a:r>
            <a:rPr lang="en-US" sz="1100"/>
            <a:t>Instructions and note:</a:t>
          </a:r>
        </a:p>
        <a:p>
          <a:r>
            <a:rPr lang="en-US" sz="1100" baseline="0"/>
            <a:t>This tab holds all fuel oil and propane usage at Town facilities.   </a:t>
          </a:r>
          <a:endParaRPr lang="en-US" sz="1100"/>
        </a:p>
      </xdr:txBody>
    </xdr:sp>
    <xdr:clientData/>
  </xdr:oneCellAnchor>
  <xdr:oneCellAnchor>
    <xdr:from>
      <xdr:col>4</xdr:col>
      <xdr:colOff>800100</xdr:colOff>
      <xdr:row>1</xdr:row>
      <xdr:rowOff>114299</xdr:rowOff>
    </xdr:from>
    <xdr:ext cx="3552825" cy="781240"/>
    <xdr:sp macro="" textlink="">
      <xdr:nvSpPr>
        <xdr:cNvPr id="3" name="TextBox 2"/>
        <xdr:cNvSpPr txBox="1"/>
      </xdr:nvSpPr>
      <xdr:spPr>
        <a:xfrm>
          <a:off x="5419725" y="304799"/>
          <a:ext cx="3552825" cy="7812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Barb, you may not have much here, but if any facilities</a:t>
          </a:r>
          <a:r>
            <a:rPr lang="en-US" sz="1100" baseline="0"/>
            <a:t> use propane or fuel oil, you can include it here.   No need to track accounts and meters, just estimate fuel consumption totals from bills.</a:t>
          </a: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104775</xdr:colOff>
      <xdr:row>0</xdr:row>
      <xdr:rowOff>123825</xdr:rowOff>
    </xdr:from>
    <xdr:ext cx="13623925" cy="2238375"/>
    <xdr:sp macro="" textlink="">
      <xdr:nvSpPr>
        <xdr:cNvPr id="2" name="TextBox 1"/>
        <xdr:cNvSpPr txBox="1"/>
      </xdr:nvSpPr>
      <xdr:spPr>
        <a:xfrm>
          <a:off x="777875" y="123825"/>
          <a:ext cx="13623925" cy="2238375"/>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800"/>
            <a:t>Clifton</a:t>
          </a:r>
          <a:r>
            <a:rPr lang="en-US" sz="1800" baseline="0"/>
            <a:t> Park </a:t>
          </a:r>
          <a:r>
            <a:rPr lang="en-US" sz="1800"/>
            <a:t>Fleet GHG Emissions</a:t>
          </a:r>
          <a:endParaRPr lang="en-US" sz="1100"/>
        </a:p>
        <a:p>
          <a:r>
            <a:rPr lang="en-US" sz="1100"/>
            <a:t>Instructions and note:</a:t>
          </a:r>
        </a:p>
        <a:p>
          <a:r>
            <a:rPr lang="en-US" sz="1100"/>
            <a:t>Burning</a:t>
          </a:r>
          <a:r>
            <a:rPr lang="en-US" sz="1100" baseline="0"/>
            <a:t> gasloline, diesel, and CNG create GHG emissions.  </a:t>
          </a:r>
          <a:r>
            <a:rPr lang="en-US" sz="1100"/>
            <a:t>There are three options for</a:t>
          </a:r>
          <a:r>
            <a:rPr lang="en-US" sz="1100" baseline="0"/>
            <a:t> this sector based on the level of detail  you would like to achieve.  All create the same GHG totals for the inventory, the difference is the level of granularity.</a:t>
          </a:r>
        </a:p>
        <a:p>
          <a:r>
            <a:rPr lang="en-US" sz="1100" baseline="0"/>
            <a:t>Some communuties distribute fuel to other partners, such as school districts, and then invoice them to recover the cost of fuel.  Therefore, when looking at fuel purchase and distribution its important to account for only the amount actuall used by government operations.</a:t>
          </a:r>
        </a:p>
        <a:p>
          <a:r>
            <a:rPr lang="en-US" sz="1100" baseline="0"/>
            <a:t>Distributed:  Total fuel distributed by the Town</a:t>
          </a:r>
        </a:p>
        <a:p>
          <a:r>
            <a:rPr lang="en-US" sz="1100" baseline="0"/>
            <a:t>Recovered:  </a:t>
          </a:r>
        </a:p>
        <a:p>
          <a:r>
            <a:rPr lang="en-US" sz="1100" baseline="0"/>
            <a:t>Option 1: Fuel distributed from central tanks with no other information</a:t>
          </a:r>
        </a:p>
        <a:p>
          <a:r>
            <a:rPr lang="en-US" sz="1100" baseline="0"/>
            <a:t>Option 2: Information to assign fuel use to department is available</a:t>
          </a:r>
        </a:p>
        <a:p>
          <a:r>
            <a:rPr lang="en-US" sz="1100" baseline="0"/>
            <a:t>Option 3: Fuel tracking is in place, and fuel can be assigned to vehicles/drivers.  This can also be used constructed with an inventory of fleet vehicles with mileage data, or estimated MPG data.</a:t>
          </a:r>
        </a:p>
        <a:p>
          <a:endParaRPr lang="en-US" sz="1100" baseline="0"/>
        </a:p>
        <a:p>
          <a:r>
            <a:rPr lang="en-US" sz="1100" baseline="0"/>
            <a:t> </a:t>
          </a:r>
          <a:endParaRPr lang="en-US" sz="1100"/>
        </a:p>
      </xdr:txBody>
    </xdr:sp>
    <xdr:clientData/>
  </xdr:oneCellAnchor>
</xdr:wsDr>
</file>

<file path=xl/tables/table1.xml><?xml version="1.0" encoding="utf-8"?>
<table xmlns="http://schemas.openxmlformats.org/spreadsheetml/2006/main" id="2" name="Table2" displayName="Table2" ref="B76:I102" totalsRowCount="1" headerRowDxfId="53" dataDxfId="52">
  <autoFilter ref="B76:I101"/>
  <sortState ref="B77:I101">
    <sortCondition descending="1" ref="I76:I101"/>
  </sortState>
  <tableColumns count="8">
    <tableColumn id="1" name="Individual Town Facilities" dataDxfId="51" totalsRowDxfId="50"/>
    <tableColumn id="2" name="Electricity (KWH/yr)" dataDxfId="49" totalsRowDxfId="48" dataCellStyle="Comma"/>
    <tableColumn id="3" name="Electricity Cost ($/yr)" dataDxfId="47" totalsRowDxfId="46"/>
    <tableColumn id="4" name="Nat. Gas (therms/yr)" dataDxfId="45" totalsRowDxfId="44"/>
    <tableColumn id="5" name="Nat. Gas Cost ($/yr)" dataDxfId="43" totalsRowDxfId="42"/>
    <tableColumn id="6" name="GHG Emissions (MTC02e/yr)" dataDxfId="41" totalsRowDxfId="40"/>
    <tableColumn id="7" name="MMBTU/yr" dataDxfId="39" totalsRowDxfId="38" dataCellStyle="Comma">
      <calculatedColumnFormula>(C77*0.003412)+(E77*0.1)</calculatedColumnFormula>
    </tableColumn>
    <tableColumn id="8" name="Total Energy Cost ($/yr)" dataDxfId="37" totalsRowDxfId="36" dataCellStyle="Currency">
      <calculatedColumnFormula>Table2[[#This Row],[Electricity Cost ($/yr)]]+Table2[[#This Row],[Nat. Gas Cost ($/yr)]]</calculatedColumnFormula>
    </tableColumn>
  </tableColumns>
  <tableStyleInfo name="TableStyleLight5" showFirstColumn="0" showLastColumn="0" showRowStripes="1" showColumnStripes="0"/>
</table>
</file>

<file path=xl/tables/table2.xml><?xml version="1.0" encoding="utf-8"?>
<table xmlns="http://schemas.openxmlformats.org/spreadsheetml/2006/main" id="1" name="Table22" displayName="Table22" ref="B47:I73" totalsRowCount="1" headerRowDxfId="35" dataDxfId="34">
  <autoFilter ref="B47:I72"/>
  <sortState ref="B48:I72">
    <sortCondition descending="1" ref="G47:G72"/>
  </sortState>
  <tableColumns count="8">
    <tableColumn id="1" name="Individual Town Facilities" dataDxfId="33" totalsRowDxfId="32"/>
    <tableColumn id="2" name="Electricity (KWH/yr)" dataDxfId="31" totalsRowDxfId="30" dataCellStyle="Comma"/>
    <tableColumn id="3" name="Electricity Cost ($/yr)" dataDxfId="29" totalsRowDxfId="28"/>
    <tableColumn id="4" name="Nat. Gas (therms/yr)" dataDxfId="27" totalsRowDxfId="26"/>
    <tableColumn id="5" name="Nat. Gas Cost ($/yr)" totalsRowLabel="   GHGs assoc. w/ facility:  " dataDxfId="25" totalsRowDxfId="24"/>
    <tableColumn id="6" name="GHG Emissions (MTC02e/yr)" totalsRowFunction="custom" dataDxfId="23" totalsRowDxfId="22">
      <totalsRowFormula>SUM(G49:G72)</totalsRowFormula>
    </tableColumn>
    <tableColumn id="7" name="MMBTU/yr" dataDxfId="21" totalsRowDxfId="20" dataCellStyle="Comma">
      <calculatedColumnFormula>(C48*0.003412)+(E48*0.1)</calculatedColumnFormula>
    </tableColumn>
    <tableColumn id="8" name="Total Energy Cost ($/yr)" dataDxfId="19" totalsRowDxfId="18" dataCellStyle="Currency">
      <calculatedColumnFormula>Table22[[#This Row],[Electricity Cost ($/yr)]]+Table22[[#This Row],[Nat. Gas Cost ($/yr)]]</calculatedColumnFormula>
    </tableColumn>
  </tableColumns>
  <tableStyleInfo name="TableStyleLight5" showFirstColumn="0" showLastColumn="0" showRowStripes="1" showColumnStripes="0"/>
</table>
</file>

<file path=xl/tables/table3.xml><?xml version="1.0" encoding="utf-8"?>
<table xmlns="http://schemas.openxmlformats.org/spreadsheetml/2006/main" id="3" name="Table24" displayName="Table24" ref="B104:I130" totalsRowCount="1" headerRowDxfId="17" dataDxfId="16">
  <autoFilter ref="B104:I129"/>
  <sortState ref="B108:I132">
    <sortCondition descending="1" ref="H107:H132"/>
  </sortState>
  <tableColumns count="8">
    <tableColumn id="1" name="Individual Town Facilities" dataDxfId="15" totalsRowDxfId="14"/>
    <tableColumn id="2" name="Electricity (KWH/yr)" dataDxfId="13" totalsRowDxfId="12" dataCellStyle="Comma"/>
    <tableColumn id="3" name="Electricity Cost ($/yr)" dataDxfId="11" totalsRowDxfId="10"/>
    <tableColumn id="4" name="Nat. Gas (therms/yr)" dataDxfId="9" totalsRowDxfId="8"/>
    <tableColumn id="5" name="Nat. Gas Cost ($/yr)" dataDxfId="7" totalsRowDxfId="6"/>
    <tableColumn id="6" name="GHG Emissions (MTC02e/yr)" dataDxfId="5" totalsRowDxfId="4"/>
    <tableColumn id="7" name="MMBTU/yr" dataDxfId="3" totalsRowDxfId="2" dataCellStyle="Comma">
      <calculatedColumnFormula>(C105*0.003412)+(E105*0.1)</calculatedColumnFormula>
    </tableColumn>
    <tableColumn id="8" name="Total Energy Cost ($/yr)" dataDxfId="1" totalsRowDxfId="0" dataCellStyle="Currency">
      <calculatedColumnFormula>Table24[[#This Row],[Electricity Cost ($/yr)]]+Table24[[#This Row],[Nat. Gas Cost ($/yr)]]</calculatedColumnFormula>
    </tableColumn>
  </tableColumns>
  <tableStyleInfo name="TableStyleLight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4" Type="http://schemas.openxmlformats.org/officeDocument/2006/relationships/table" Target="../tables/table3.xml"/><Relationship Id="rId1" Type="http://schemas.openxmlformats.org/officeDocument/2006/relationships/drawing" Target="../drawings/drawing2.xml"/><Relationship Id="rId2"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85"/>
  <sheetViews>
    <sheetView workbookViewId="0">
      <selection activeCell="B1" sqref="B1:J1"/>
    </sheetView>
  </sheetViews>
  <sheetFormatPr baseColWidth="10" defaultRowHeight="14" x14ac:dyDescent="0"/>
  <cols>
    <col min="1" max="1" width="1.1640625" style="362" customWidth="1"/>
    <col min="2" max="2" width="16.33203125" style="362" customWidth="1"/>
    <col min="3" max="3" width="1.33203125" style="362" customWidth="1"/>
    <col min="4" max="4" width="23.6640625" style="362" customWidth="1"/>
    <col min="5" max="5" width="1.5" style="362" customWidth="1"/>
    <col min="6" max="6" width="28" style="362" customWidth="1"/>
    <col min="7" max="7" width="24.1640625" style="362" customWidth="1"/>
    <col min="8" max="8" width="15.5" style="362" customWidth="1"/>
    <col min="9" max="9" width="2.6640625" style="362" customWidth="1"/>
    <col min="10" max="10" width="24.6640625" style="362" customWidth="1"/>
    <col min="11" max="11" width="16" style="362" customWidth="1"/>
    <col min="12" max="16384" width="10.83203125" style="362"/>
  </cols>
  <sheetData>
    <row r="1" spans="2:10" ht="21" thickBot="1">
      <c r="B1" s="687" t="s">
        <v>624</v>
      </c>
      <c r="C1" s="688"/>
      <c r="D1" s="688"/>
      <c r="E1" s="688"/>
      <c r="F1" s="688"/>
      <c r="G1" s="688"/>
      <c r="H1" s="688"/>
      <c r="I1" s="688"/>
      <c r="J1" s="689"/>
    </row>
    <row r="2" spans="2:10" ht="15" thickBot="1"/>
    <row r="3" spans="2:10" ht="15" thickBot="1">
      <c r="D3" s="406" t="s">
        <v>685</v>
      </c>
      <c r="F3" s="684" t="s">
        <v>693</v>
      </c>
      <c r="G3" s="685"/>
      <c r="H3" s="686"/>
      <c r="I3" s="405"/>
      <c r="J3" s="406" t="s">
        <v>5</v>
      </c>
    </row>
    <row r="4" spans="2:10">
      <c r="D4" s="407" t="s">
        <v>477</v>
      </c>
      <c r="F4" s="436" t="s">
        <v>4</v>
      </c>
      <c r="G4" s="406" t="s">
        <v>20</v>
      </c>
      <c r="H4" s="434" t="s">
        <v>478</v>
      </c>
      <c r="I4" s="501"/>
      <c r="J4" s="412" t="s">
        <v>489</v>
      </c>
    </row>
    <row r="5" spans="2:10" ht="15" thickBot="1">
      <c r="D5" s="407" t="s">
        <v>18</v>
      </c>
      <c r="F5" s="407" t="s">
        <v>596</v>
      </c>
      <c r="G5" s="407" t="s">
        <v>1</v>
      </c>
      <c r="H5" s="435" t="s">
        <v>2</v>
      </c>
      <c r="I5" s="385"/>
      <c r="J5" s="412" t="s">
        <v>482</v>
      </c>
    </row>
    <row r="6" spans="2:10">
      <c r="D6" s="407" t="s">
        <v>478</v>
      </c>
      <c r="F6" s="407" t="s">
        <v>422</v>
      </c>
      <c r="G6" s="407" t="s">
        <v>376</v>
      </c>
      <c r="H6" s="411"/>
      <c r="I6" s="385"/>
      <c r="J6" s="412" t="s">
        <v>16</v>
      </c>
    </row>
    <row r="7" spans="2:10" ht="15" thickBot="1">
      <c r="D7" s="433" t="s">
        <v>700</v>
      </c>
      <c r="F7" s="407" t="s">
        <v>476</v>
      </c>
      <c r="G7" s="407" t="s">
        <v>19</v>
      </c>
      <c r="J7" s="412" t="s">
        <v>15</v>
      </c>
    </row>
    <row r="8" spans="2:10" ht="15" thickBot="1">
      <c r="D8" s="385"/>
      <c r="F8" s="433" t="s">
        <v>378</v>
      </c>
      <c r="G8" s="407" t="s">
        <v>3</v>
      </c>
      <c r="J8" s="412" t="s">
        <v>9</v>
      </c>
    </row>
    <row r="9" spans="2:10">
      <c r="D9" s="411"/>
      <c r="F9" s="411"/>
      <c r="G9" s="407" t="s">
        <v>680</v>
      </c>
      <c r="J9" s="412" t="s">
        <v>490</v>
      </c>
    </row>
    <row r="10" spans="2:10" ht="15" thickBot="1">
      <c r="D10" s="411"/>
      <c r="F10" s="411"/>
      <c r="G10" s="433" t="s">
        <v>679</v>
      </c>
      <c r="J10" s="412" t="s">
        <v>7</v>
      </c>
    </row>
    <row r="11" spans="2:10">
      <c r="B11" s="385"/>
      <c r="G11" s="411"/>
      <c r="J11" s="407" t="s">
        <v>17</v>
      </c>
    </row>
    <row r="12" spans="2:10">
      <c r="B12" s="384"/>
      <c r="G12" s="411"/>
      <c r="J12" s="412" t="s">
        <v>8</v>
      </c>
    </row>
    <row r="13" spans="2:10">
      <c r="B13" s="385"/>
      <c r="G13" s="411"/>
      <c r="I13" s="501"/>
      <c r="J13" s="412" t="s">
        <v>11</v>
      </c>
    </row>
    <row r="14" spans="2:10">
      <c r="B14" s="385"/>
      <c r="I14" s="385"/>
      <c r="J14" s="412" t="s">
        <v>10</v>
      </c>
    </row>
    <row r="15" spans="2:10" ht="13" customHeight="1">
      <c r="D15" s="364"/>
      <c r="H15" s="384"/>
      <c r="I15" s="385"/>
      <c r="J15" s="412" t="s">
        <v>377</v>
      </c>
    </row>
    <row r="16" spans="2:10" ht="15" thickBot="1">
      <c r="D16" s="363"/>
      <c r="F16" s="385"/>
      <c r="G16" s="385"/>
      <c r="H16" s="385"/>
      <c r="J16" s="412" t="s">
        <v>12</v>
      </c>
    </row>
    <row r="17" spans="2:11">
      <c r="B17" s="369" t="s">
        <v>572</v>
      </c>
      <c r="C17" s="353"/>
      <c r="D17" s="369" t="s">
        <v>576</v>
      </c>
      <c r="E17" s="353"/>
      <c r="G17" s="384"/>
      <c r="H17" s="384"/>
      <c r="J17" s="412" t="s">
        <v>374</v>
      </c>
    </row>
    <row r="18" spans="2:11">
      <c r="B18" s="352" t="s">
        <v>586</v>
      </c>
      <c r="D18" s="352" t="s">
        <v>577</v>
      </c>
      <c r="E18" s="353"/>
      <c r="G18" s="384"/>
      <c r="H18" s="385"/>
      <c r="J18" s="412" t="s">
        <v>488</v>
      </c>
    </row>
    <row r="19" spans="2:11">
      <c r="B19" s="352" t="s">
        <v>575</v>
      </c>
      <c r="D19" s="352" t="s">
        <v>579</v>
      </c>
      <c r="F19" s="385"/>
      <c r="G19" s="385"/>
      <c r="H19" s="385"/>
      <c r="J19" s="412" t="s">
        <v>487</v>
      </c>
    </row>
    <row r="20" spans="2:11">
      <c r="B20" s="352" t="s">
        <v>574</v>
      </c>
      <c r="D20" s="352" t="s">
        <v>578</v>
      </c>
      <c r="F20" s="363"/>
      <c r="H20" s="385"/>
      <c r="J20" s="412" t="s">
        <v>483</v>
      </c>
    </row>
    <row r="21" spans="2:11" ht="15" thickBot="1">
      <c r="B21" s="368" t="s">
        <v>573</v>
      </c>
      <c r="D21" s="352" t="s">
        <v>581</v>
      </c>
      <c r="H21" s="385"/>
      <c r="J21" s="413" t="s">
        <v>571</v>
      </c>
    </row>
    <row r="22" spans="2:11">
      <c r="D22" s="352" t="s">
        <v>580</v>
      </c>
      <c r="H22" s="385"/>
      <c r="I22" s="501"/>
      <c r="J22" s="407" t="s">
        <v>6</v>
      </c>
    </row>
    <row r="23" spans="2:11">
      <c r="D23" s="352" t="s">
        <v>582</v>
      </c>
      <c r="H23" s="385"/>
      <c r="I23" s="385"/>
      <c r="J23" s="412" t="s">
        <v>373</v>
      </c>
    </row>
    <row r="24" spans="2:11">
      <c r="D24" s="352" t="s">
        <v>583</v>
      </c>
      <c r="H24" s="431"/>
      <c r="I24" s="385"/>
      <c r="J24" s="412" t="s">
        <v>372</v>
      </c>
      <c r="K24" s="408"/>
    </row>
    <row r="25" spans="2:11">
      <c r="D25" s="352" t="s">
        <v>584</v>
      </c>
      <c r="F25" s="363"/>
      <c r="H25" s="431"/>
      <c r="J25" s="412" t="s">
        <v>13</v>
      </c>
    </row>
    <row r="26" spans="2:11">
      <c r="D26" s="352" t="s">
        <v>585</v>
      </c>
      <c r="H26" s="431"/>
      <c r="J26" s="412" t="s">
        <v>367</v>
      </c>
    </row>
    <row r="27" spans="2:11">
      <c r="D27" s="352" t="s">
        <v>560</v>
      </c>
      <c r="H27" s="431"/>
      <c r="J27" s="412" t="s">
        <v>417</v>
      </c>
    </row>
    <row r="28" spans="2:11" ht="15" thickBot="1">
      <c r="D28" s="352" t="s">
        <v>375</v>
      </c>
      <c r="H28" s="431"/>
      <c r="J28" s="414" t="s">
        <v>14</v>
      </c>
    </row>
    <row r="29" spans="2:11" ht="15" thickBot="1">
      <c r="D29" s="368" t="s">
        <v>532</v>
      </c>
      <c r="J29" s="411"/>
    </row>
    <row r="30" spans="2:11" ht="15" thickBot="1">
      <c r="B30" s="353"/>
      <c r="J30" s="411"/>
    </row>
    <row r="31" spans="2:11" ht="28">
      <c r="B31" s="379" t="s">
        <v>590</v>
      </c>
      <c r="C31" s="370"/>
      <c r="D31" s="376" t="s">
        <v>589</v>
      </c>
      <c r="E31" s="370"/>
      <c r="F31" s="373" t="s">
        <v>559</v>
      </c>
      <c r="G31" s="386" t="s">
        <v>627</v>
      </c>
      <c r="J31" s="411"/>
    </row>
    <row r="32" spans="2:11" ht="17" customHeight="1">
      <c r="B32" s="390">
        <v>3040127109</v>
      </c>
      <c r="C32" s="391"/>
      <c r="D32" s="392" t="s">
        <v>515</v>
      </c>
      <c r="E32" s="391"/>
      <c r="F32" s="393" t="s">
        <v>550</v>
      </c>
      <c r="G32" s="394" t="s">
        <v>577</v>
      </c>
      <c r="J32" s="411"/>
    </row>
    <row r="33" spans="2:7" ht="17" customHeight="1">
      <c r="B33" s="381">
        <v>4399122004</v>
      </c>
      <c r="C33" s="364"/>
      <c r="D33" s="377" t="s">
        <v>515</v>
      </c>
      <c r="E33" s="364"/>
      <c r="F33" s="374" t="s">
        <v>550</v>
      </c>
      <c r="G33" s="387" t="s">
        <v>577</v>
      </c>
    </row>
    <row r="34" spans="2:7" ht="17" customHeight="1">
      <c r="B34" s="395">
        <v>4513814101</v>
      </c>
      <c r="C34" s="396"/>
      <c r="D34" s="397" t="s">
        <v>515</v>
      </c>
      <c r="E34" s="396"/>
      <c r="F34" s="398" t="s">
        <v>550</v>
      </c>
      <c r="G34" s="399" t="s">
        <v>577</v>
      </c>
    </row>
    <row r="35" spans="2:7" ht="17" customHeight="1">
      <c r="B35" s="380">
        <v>1608811106</v>
      </c>
      <c r="C35" s="364"/>
      <c r="D35" s="389" t="s">
        <v>506</v>
      </c>
      <c r="E35" s="364"/>
      <c r="F35" s="374" t="s">
        <v>544</v>
      </c>
      <c r="G35" s="387" t="s">
        <v>579</v>
      </c>
    </row>
    <row r="36" spans="2:7" ht="17" customHeight="1">
      <c r="B36" s="381">
        <v>2703112003</v>
      </c>
      <c r="C36" s="364"/>
      <c r="D36" s="377" t="s">
        <v>512</v>
      </c>
      <c r="E36" s="364"/>
      <c r="F36" s="374" t="s">
        <v>549</v>
      </c>
      <c r="G36" s="387" t="s">
        <v>579</v>
      </c>
    </row>
    <row r="37" spans="2:7" ht="17" customHeight="1">
      <c r="B37" s="381">
        <v>3908811104</v>
      </c>
      <c r="C37" s="364"/>
      <c r="D37" s="377" t="s">
        <v>521</v>
      </c>
      <c r="E37" s="364"/>
      <c r="F37" s="374" t="s">
        <v>552</v>
      </c>
      <c r="G37" s="387" t="s">
        <v>579</v>
      </c>
    </row>
    <row r="38" spans="2:7" ht="17" customHeight="1">
      <c r="B38" s="381">
        <v>4568811105</v>
      </c>
      <c r="C38" s="364"/>
      <c r="D38" s="377" t="s">
        <v>506</v>
      </c>
      <c r="E38" s="364"/>
      <c r="F38" s="374" t="s">
        <v>553</v>
      </c>
      <c r="G38" s="387" t="s">
        <v>579</v>
      </c>
    </row>
    <row r="39" spans="2:7" ht="17" customHeight="1">
      <c r="B39" s="381">
        <v>4588811101</v>
      </c>
      <c r="C39" s="364"/>
      <c r="D39" s="377" t="s">
        <v>522</v>
      </c>
      <c r="E39" s="364"/>
      <c r="F39" s="374" t="s">
        <v>592</v>
      </c>
      <c r="G39" s="387" t="s">
        <v>579</v>
      </c>
    </row>
    <row r="40" spans="2:7" ht="17" customHeight="1">
      <c r="B40" s="381">
        <v>5668811108</v>
      </c>
      <c r="C40" s="364"/>
      <c r="D40" s="377" t="s">
        <v>506</v>
      </c>
      <c r="E40" s="364"/>
      <c r="F40" s="374" t="s">
        <v>3</v>
      </c>
      <c r="G40" s="387" t="s">
        <v>579</v>
      </c>
    </row>
    <row r="41" spans="2:7" ht="17" customHeight="1">
      <c r="B41" s="381">
        <v>9308810101</v>
      </c>
      <c r="C41" s="364"/>
      <c r="D41" s="377" t="s">
        <v>512</v>
      </c>
      <c r="E41" s="364"/>
      <c r="F41" s="374" t="s">
        <v>558</v>
      </c>
      <c r="G41" s="387" t="s">
        <v>579</v>
      </c>
    </row>
    <row r="42" spans="2:7" ht="17" customHeight="1">
      <c r="B42" s="395">
        <v>9488810107</v>
      </c>
      <c r="C42" s="396"/>
      <c r="D42" s="397" t="s">
        <v>521</v>
      </c>
      <c r="E42" s="396"/>
      <c r="F42" s="398" t="s">
        <v>591</v>
      </c>
      <c r="G42" s="399" t="s">
        <v>579</v>
      </c>
    </row>
    <row r="43" spans="2:7" ht="17" customHeight="1">
      <c r="B43" s="400">
        <v>783104003</v>
      </c>
      <c r="C43" s="364"/>
      <c r="D43" s="389" t="s">
        <v>501</v>
      </c>
      <c r="E43" s="364"/>
      <c r="F43" s="374" t="s">
        <v>534</v>
      </c>
      <c r="G43" s="387" t="s">
        <v>578</v>
      </c>
    </row>
    <row r="44" spans="2:7" ht="17" customHeight="1">
      <c r="B44" s="381">
        <v>2137454018</v>
      </c>
      <c r="C44" s="364"/>
      <c r="D44" s="377" t="s">
        <v>501</v>
      </c>
      <c r="E44" s="364"/>
      <c r="F44" s="374" t="s">
        <v>534</v>
      </c>
      <c r="G44" s="387" t="s">
        <v>578</v>
      </c>
    </row>
    <row r="45" spans="2:7" ht="17" customHeight="1">
      <c r="B45" s="381">
        <v>6368810106</v>
      </c>
      <c r="C45" s="364"/>
      <c r="D45" s="377" t="s">
        <v>501</v>
      </c>
      <c r="E45" s="364"/>
      <c r="F45" s="374" t="s">
        <v>534</v>
      </c>
      <c r="G45" s="387" t="s">
        <v>578</v>
      </c>
    </row>
    <row r="46" spans="2:7" ht="17" customHeight="1">
      <c r="B46" s="395">
        <v>6857311003</v>
      </c>
      <c r="C46" s="396"/>
      <c r="D46" s="397" t="s">
        <v>529</v>
      </c>
      <c r="E46" s="396"/>
      <c r="F46" s="398" t="s">
        <v>534</v>
      </c>
      <c r="G46" s="399" t="s">
        <v>578</v>
      </c>
    </row>
    <row r="47" spans="2:7" ht="17" customHeight="1">
      <c r="B47" s="380">
        <v>2693810107</v>
      </c>
      <c r="C47" s="364"/>
      <c r="D47" s="389" t="s">
        <v>511</v>
      </c>
      <c r="E47" s="364"/>
      <c r="F47" s="374" t="s">
        <v>548</v>
      </c>
      <c r="G47" s="387" t="s">
        <v>581</v>
      </c>
    </row>
    <row r="48" spans="2:7" ht="17" customHeight="1">
      <c r="B48" s="381">
        <v>4153807100</v>
      </c>
      <c r="C48" s="364"/>
      <c r="D48" s="377" t="s">
        <v>511</v>
      </c>
      <c r="E48" s="364"/>
      <c r="F48" s="374" t="s">
        <v>548</v>
      </c>
      <c r="G48" s="387" t="s">
        <v>581</v>
      </c>
    </row>
    <row r="49" spans="2:8" ht="17" customHeight="1">
      <c r="B49" s="395">
        <v>8193819106</v>
      </c>
      <c r="C49" s="396"/>
      <c r="D49" s="397" t="s">
        <v>511</v>
      </c>
      <c r="E49" s="396"/>
      <c r="F49" s="398" t="s">
        <v>548</v>
      </c>
      <c r="G49" s="399" t="s">
        <v>581</v>
      </c>
    </row>
    <row r="50" spans="2:8" ht="17" customHeight="1">
      <c r="B50" s="400">
        <v>308809118</v>
      </c>
      <c r="C50" s="364"/>
      <c r="D50" s="389" t="s">
        <v>499</v>
      </c>
      <c r="E50" s="364"/>
      <c r="F50" s="374" t="s">
        <v>541</v>
      </c>
      <c r="G50" s="387" t="s">
        <v>580</v>
      </c>
      <c r="H50" s="363"/>
    </row>
    <row r="51" spans="2:8" ht="17" customHeight="1">
      <c r="B51" s="381">
        <v>1028809119</v>
      </c>
      <c r="C51" s="364"/>
      <c r="D51" s="377" t="s">
        <v>504</v>
      </c>
      <c r="E51" s="364"/>
      <c r="F51" s="374" t="s">
        <v>543</v>
      </c>
      <c r="G51" s="387" t="s">
        <v>580</v>
      </c>
      <c r="H51" s="363"/>
    </row>
    <row r="52" spans="2:8" ht="17" customHeight="1">
      <c r="B52" s="395">
        <v>2133819102</v>
      </c>
      <c r="C52" s="396"/>
      <c r="D52" s="397" t="s">
        <v>508</v>
      </c>
      <c r="E52" s="396"/>
      <c r="F52" s="398" t="s">
        <v>546</v>
      </c>
      <c r="G52" s="399" t="s">
        <v>580</v>
      </c>
      <c r="H52" s="363"/>
    </row>
    <row r="53" spans="2:8" ht="17" customHeight="1">
      <c r="B53" s="400">
        <v>143027007</v>
      </c>
      <c r="C53" s="364"/>
      <c r="D53" s="401" t="s">
        <v>494</v>
      </c>
      <c r="E53" s="364"/>
      <c r="F53" s="374" t="s">
        <v>539</v>
      </c>
      <c r="G53" s="387" t="s">
        <v>582</v>
      </c>
      <c r="H53" s="363"/>
    </row>
    <row r="54" spans="2:8" ht="17" customHeight="1">
      <c r="B54" s="381">
        <v>1933810131</v>
      </c>
      <c r="C54" s="364"/>
      <c r="D54" s="377" t="s">
        <v>507</v>
      </c>
      <c r="E54" s="364"/>
      <c r="F54" s="374" t="s">
        <v>545</v>
      </c>
      <c r="G54" s="387" t="s">
        <v>582</v>
      </c>
    </row>
    <row r="55" spans="2:8" ht="17" customHeight="1">
      <c r="B55" s="381">
        <v>2217686007</v>
      </c>
      <c r="C55" s="364"/>
      <c r="D55" s="377" t="s">
        <v>509</v>
      </c>
      <c r="E55" s="364"/>
      <c r="F55" s="374" t="s">
        <v>484</v>
      </c>
      <c r="G55" s="387" t="s">
        <v>582</v>
      </c>
    </row>
    <row r="56" spans="2:8" ht="17" customHeight="1">
      <c r="B56" s="381">
        <v>3293820115</v>
      </c>
      <c r="C56" s="364"/>
      <c r="D56" s="377" t="s">
        <v>519</v>
      </c>
      <c r="E56" s="364"/>
      <c r="F56" s="374" t="s">
        <v>551</v>
      </c>
      <c r="G56" s="387" t="s">
        <v>582</v>
      </c>
    </row>
    <row r="57" spans="2:8" ht="17" customHeight="1">
      <c r="B57" s="381">
        <v>5048811100</v>
      </c>
      <c r="C57" s="364"/>
      <c r="D57" s="377" t="s">
        <v>524</v>
      </c>
      <c r="E57" s="364"/>
      <c r="F57" s="374" t="s">
        <v>554</v>
      </c>
      <c r="G57" s="387" t="s">
        <v>582</v>
      </c>
    </row>
    <row r="58" spans="2:8" ht="17" customHeight="1">
      <c r="B58" s="381">
        <v>5333812119</v>
      </c>
      <c r="C58" s="364"/>
      <c r="D58" s="377" t="s">
        <v>525</v>
      </c>
      <c r="E58" s="364"/>
      <c r="F58" s="374" t="s">
        <v>555</v>
      </c>
      <c r="G58" s="387" t="s">
        <v>582</v>
      </c>
    </row>
    <row r="59" spans="2:8" ht="17" customHeight="1">
      <c r="B59" s="381">
        <v>5613808124</v>
      </c>
      <c r="C59" s="364"/>
      <c r="D59" s="377" t="s">
        <v>526</v>
      </c>
      <c r="E59" s="364"/>
      <c r="F59" s="374" t="s">
        <v>556</v>
      </c>
      <c r="G59" s="387" t="s">
        <v>582</v>
      </c>
    </row>
    <row r="60" spans="2:8" ht="17" customHeight="1">
      <c r="B60" s="381">
        <v>5933814115</v>
      </c>
      <c r="C60" s="364"/>
      <c r="D60" s="377" t="s">
        <v>527</v>
      </c>
      <c r="E60" s="364"/>
      <c r="F60" s="374" t="s">
        <v>557</v>
      </c>
      <c r="G60" s="387" t="s">
        <v>582</v>
      </c>
    </row>
    <row r="61" spans="2:8" ht="17" customHeight="1">
      <c r="B61" s="395">
        <v>9953820104</v>
      </c>
      <c r="C61" s="396"/>
      <c r="D61" s="397" t="s">
        <v>531</v>
      </c>
      <c r="E61" s="396"/>
      <c r="F61" s="398" t="s">
        <v>377</v>
      </c>
      <c r="G61" s="399" t="s">
        <v>582</v>
      </c>
    </row>
    <row r="62" spans="2:8" ht="17" customHeight="1">
      <c r="B62" s="400">
        <v>852028007</v>
      </c>
      <c r="C62" s="364"/>
      <c r="D62" s="389" t="s">
        <v>502</v>
      </c>
      <c r="E62" s="364"/>
      <c r="F62" s="374" t="s">
        <v>542</v>
      </c>
      <c r="G62" s="387" t="s">
        <v>583</v>
      </c>
    </row>
    <row r="63" spans="2:8" ht="17" customHeight="1">
      <c r="B63" s="382">
        <v>893819102</v>
      </c>
      <c r="C63" s="364"/>
      <c r="D63" s="377" t="s">
        <v>502</v>
      </c>
      <c r="E63" s="364"/>
      <c r="F63" s="374" t="s">
        <v>542</v>
      </c>
      <c r="G63" s="387" t="s">
        <v>583</v>
      </c>
    </row>
    <row r="64" spans="2:8" ht="17" customHeight="1">
      <c r="B64" s="382">
        <v>913819100</v>
      </c>
      <c r="C64" s="364"/>
      <c r="D64" s="377" t="s">
        <v>502</v>
      </c>
      <c r="E64" s="364"/>
      <c r="F64" s="374" t="s">
        <v>542</v>
      </c>
      <c r="G64" s="387" t="s">
        <v>583</v>
      </c>
    </row>
    <row r="65" spans="2:7" ht="17" customHeight="1">
      <c r="B65" s="402">
        <v>933819115</v>
      </c>
      <c r="C65" s="396"/>
      <c r="D65" s="397" t="s">
        <v>502</v>
      </c>
      <c r="E65" s="396"/>
      <c r="F65" s="398" t="s">
        <v>542</v>
      </c>
      <c r="G65" s="399" t="s">
        <v>583</v>
      </c>
    </row>
    <row r="66" spans="2:7" ht="17" customHeight="1">
      <c r="B66" s="400">
        <v>248811109</v>
      </c>
      <c r="C66" s="364"/>
      <c r="D66" s="389" t="s">
        <v>497</v>
      </c>
      <c r="E66" s="364"/>
      <c r="F66" s="374" t="s">
        <v>540</v>
      </c>
      <c r="G66" s="387" t="s">
        <v>584</v>
      </c>
    </row>
    <row r="67" spans="2:7" ht="17" customHeight="1">
      <c r="B67" s="402">
        <v>288811101</v>
      </c>
      <c r="C67" s="396"/>
      <c r="D67" s="397" t="s">
        <v>497</v>
      </c>
      <c r="E67" s="396"/>
      <c r="F67" s="398" t="s">
        <v>540</v>
      </c>
      <c r="G67" s="399" t="s">
        <v>584</v>
      </c>
    </row>
    <row r="68" spans="2:7" ht="17" customHeight="1">
      <c r="B68" s="380">
        <v>2480127108</v>
      </c>
      <c r="C68" s="364"/>
      <c r="D68" s="389" t="s">
        <v>510</v>
      </c>
      <c r="E68" s="364"/>
      <c r="F68" s="374" t="s">
        <v>547</v>
      </c>
      <c r="G68" s="387" t="s">
        <v>585</v>
      </c>
    </row>
    <row r="69" spans="2:7" ht="17" customHeight="1">
      <c r="B69" s="381">
        <v>5513812108</v>
      </c>
      <c r="C69" s="364"/>
      <c r="D69" s="377" t="s">
        <v>510</v>
      </c>
      <c r="E69" s="364"/>
      <c r="F69" s="374" t="s">
        <v>547</v>
      </c>
      <c r="G69" s="387" t="s">
        <v>585</v>
      </c>
    </row>
    <row r="70" spans="2:7" ht="17" customHeight="1">
      <c r="B70" s="381">
        <v>6853819124</v>
      </c>
      <c r="C70" s="364"/>
      <c r="D70" s="377" t="s">
        <v>510</v>
      </c>
      <c r="E70" s="364"/>
      <c r="F70" s="374" t="s">
        <v>547</v>
      </c>
      <c r="G70" s="387" t="s">
        <v>585</v>
      </c>
    </row>
    <row r="71" spans="2:7" ht="17" customHeight="1">
      <c r="B71" s="381">
        <v>9428808118</v>
      </c>
      <c r="C71" s="364"/>
      <c r="D71" s="377" t="s">
        <v>510</v>
      </c>
      <c r="E71" s="364"/>
      <c r="F71" s="374" t="s">
        <v>547</v>
      </c>
      <c r="G71" s="387" t="s">
        <v>585</v>
      </c>
    </row>
    <row r="72" spans="2:7" ht="17" customHeight="1" thickBot="1">
      <c r="B72" s="383">
        <v>9753819107</v>
      </c>
      <c r="C72" s="365"/>
      <c r="D72" s="378" t="s">
        <v>510</v>
      </c>
      <c r="E72" s="365"/>
      <c r="F72" s="375" t="s">
        <v>547</v>
      </c>
      <c r="G72" s="388" t="s">
        <v>585</v>
      </c>
    </row>
    <row r="73" spans="2:7" ht="15" thickBot="1"/>
    <row r="74" spans="2:7" ht="28">
      <c r="F74" s="416" t="s">
        <v>608</v>
      </c>
      <c r="G74" s="417" t="s">
        <v>623</v>
      </c>
    </row>
    <row r="75" spans="2:7">
      <c r="F75" s="418" t="s">
        <v>607</v>
      </c>
      <c r="G75" s="419" t="s">
        <v>599</v>
      </c>
    </row>
    <row r="76" spans="2:7">
      <c r="F76" s="418"/>
      <c r="G76" s="419" t="s">
        <v>600</v>
      </c>
    </row>
    <row r="77" spans="2:7">
      <c r="F77" s="418" t="s">
        <v>607</v>
      </c>
      <c r="G77" s="419" t="s">
        <v>601</v>
      </c>
    </row>
    <row r="78" spans="2:7">
      <c r="F78" s="418" t="s">
        <v>607</v>
      </c>
      <c r="G78" s="419" t="s">
        <v>602</v>
      </c>
    </row>
    <row r="79" spans="2:7">
      <c r="F79" s="418" t="s">
        <v>607</v>
      </c>
      <c r="G79" s="419" t="s">
        <v>603</v>
      </c>
    </row>
    <row r="80" spans="2:7">
      <c r="F80" s="418"/>
      <c r="G80" s="419" t="s">
        <v>604</v>
      </c>
    </row>
    <row r="81" spans="6:7">
      <c r="F81" s="420" t="s">
        <v>607</v>
      </c>
      <c r="G81" s="419" t="s">
        <v>605</v>
      </c>
    </row>
    <row r="82" spans="6:7">
      <c r="F82" s="420" t="s">
        <v>607</v>
      </c>
      <c r="G82" s="419" t="s">
        <v>557</v>
      </c>
    </row>
    <row r="83" spans="6:7">
      <c r="F83" s="420" t="s">
        <v>607</v>
      </c>
      <c r="G83" s="419" t="s">
        <v>417</v>
      </c>
    </row>
    <row r="84" spans="6:7">
      <c r="F84" s="420" t="s">
        <v>607</v>
      </c>
      <c r="G84" s="419" t="s">
        <v>606</v>
      </c>
    </row>
    <row r="85" spans="6:7" ht="15" thickBot="1">
      <c r="F85" s="421" t="s">
        <v>607</v>
      </c>
      <c r="G85" s="422" t="s">
        <v>556</v>
      </c>
    </row>
  </sheetData>
  <autoFilter ref="B31:G72">
    <sortState ref="B32:G72">
      <sortCondition ref="G31:G72"/>
    </sortState>
  </autoFilter>
  <sortState ref="B18:B21">
    <sortCondition ref="B21"/>
  </sortState>
  <mergeCells count="2">
    <mergeCell ref="F3:H3"/>
    <mergeCell ref="B1:J1"/>
  </mergeCells>
  <phoneticPr fontId="7" type="noConversion"/>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O99"/>
  <sheetViews>
    <sheetView topLeftCell="A56" workbookViewId="0">
      <selection activeCell="M87" sqref="M87"/>
    </sheetView>
  </sheetViews>
  <sheetFormatPr baseColWidth="10" defaultColWidth="15" defaultRowHeight="14" x14ac:dyDescent="0"/>
  <cols>
    <col min="1" max="1" width="14.5" style="43" customWidth="1"/>
    <col min="2" max="13" width="10.83203125" style="43" customWidth="1"/>
    <col min="14" max="14" width="6" style="43" customWidth="1"/>
    <col min="15" max="15" width="17.1640625" style="43" customWidth="1"/>
    <col min="16" max="16384" width="15" style="43"/>
  </cols>
  <sheetData>
    <row r="13" spans="1:15">
      <c r="A13" s="41" t="s">
        <v>0</v>
      </c>
      <c r="B13" s="42"/>
      <c r="C13" s="42"/>
    </row>
    <row r="14" spans="1:15">
      <c r="A14" s="350" t="s">
        <v>370</v>
      </c>
      <c r="B14" s="37" t="s">
        <v>470</v>
      </c>
      <c r="C14" s="37" t="s">
        <v>471</v>
      </c>
      <c r="D14" s="37" t="s">
        <v>472</v>
      </c>
      <c r="E14" s="37" t="s">
        <v>462</v>
      </c>
      <c r="F14" s="37" t="s">
        <v>463</v>
      </c>
      <c r="G14" s="37" t="s">
        <v>464</v>
      </c>
      <c r="H14" s="37" t="s">
        <v>465</v>
      </c>
      <c r="I14" s="37" t="s">
        <v>466</v>
      </c>
      <c r="J14" s="37" t="s">
        <v>358</v>
      </c>
      <c r="K14" s="37" t="s">
        <v>467</v>
      </c>
      <c r="L14" s="37" t="s">
        <v>468</v>
      </c>
      <c r="M14" s="37" t="s">
        <v>469</v>
      </c>
      <c r="O14" s="37" t="s">
        <v>361</v>
      </c>
    </row>
    <row r="15" spans="1:15">
      <c r="A15" s="44">
        <v>143027007</v>
      </c>
      <c r="B15" s="45">
        <f>VLOOKUP($A15,'NG-Jan-Bill'!$A$15:$X$96,24)</f>
        <v>0</v>
      </c>
      <c r="C15" s="45">
        <f>VLOOKUP($A15,'NG-Feb-Bill'!$A$15:$X$96,24)</f>
        <v>0</v>
      </c>
      <c r="D15" s="45">
        <f>VLOOKUP($A15,'NG_Mar-Bill'!$A$15:$X$96,24)</f>
        <v>0</v>
      </c>
      <c r="E15" s="45">
        <f>VLOOKUP($A15,'NG-Apr-Bill'!$A$15:$X$96,24)</f>
        <v>0</v>
      </c>
      <c r="F15" s="45">
        <f>VLOOKUP($A15,'NG-May-Bill'!$A$15:$X$96,24)</f>
        <v>0</v>
      </c>
      <c r="G15" s="45">
        <f>VLOOKUP($A15,'NG-Jun-Bill'!$A$15:$X$96,24)</f>
        <v>0</v>
      </c>
      <c r="H15" s="45">
        <f>VLOOKUP($A15,'NG-Jul-Bill'!$A$15:$X$96,24)</f>
        <v>0</v>
      </c>
      <c r="I15" s="45">
        <f>VLOOKUP($A15,'NG-Aug-Bill'!$A$15:$X$96,24)</f>
        <v>0</v>
      </c>
      <c r="J15" s="45">
        <f>VLOOKUP($A15,'NG-Sept-Bill'!$A$15:$X$96,24)</f>
        <v>0</v>
      </c>
      <c r="K15" s="45">
        <f>VLOOKUP($A15,'NG-Oct-Bill'!$A$15:$X$96,24)</f>
        <v>0</v>
      </c>
      <c r="L15" s="45">
        <f>VLOOKUP($A15,'NG-Nov-Bill'!$A$15:$X$96,24)</f>
        <v>0</v>
      </c>
      <c r="M15" s="45">
        <f>VLOOKUP($A15,'NG-Dec-Bill'!$A$15:$X$96,24)</f>
        <v>0</v>
      </c>
      <c r="O15" s="45">
        <f t="shared" ref="O15:O79" si="0">SUM(B15:N15)</f>
        <v>0</v>
      </c>
    </row>
    <row r="16" spans="1:15">
      <c r="A16" s="44">
        <v>173880101</v>
      </c>
      <c r="B16" s="45">
        <f>VLOOKUP($A16,'NG-Jan-Bill'!$A$15:$X$96,24)</f>
        <v>0</v>
      </c>
      <c r="C16" s="45">
        <f>VLOOKUP($A16,'NG-Feb-Bill'!$A$15:$X$96,24)</f>
        <v>0</v>
      </c>
      <c r="D16" s="45">
        <f>VLOOKUP($A16,'NG_Mar-Bill'!$A$15:$X$96,24)</f>
        <v>0</v>
      </c>
      <c r="E16" s="45">
        <f>VLOOKUP($A16,'NG-Apr-Bill'!$A$15:$X$96,24)</f>
        <v>0</v>
      </c>
      <c r="F16" s="45">
        <f>VLOOKUP($A16,'NG-May-Bill'!$A$15:$X$96,24)</f>
        <v>0</v>
      </c>
      <c r="G16" s="45">
        <f>VLOOKUP($A16,'NG-Jun-Bill'!$A$15:$X$96,24)</f>
        <v>0</v>
      </c>
      <c r="H16" s="45">
        <f>VLOOKUP($A16,'NG-Jul-Bill'!$A$15:$X$96,24)</f>
        <v>0</v>
      </c>
      <c r="I16" s="45">
        <f>VLOOKUP($A16,'NG-Aug-Bill'!$A$15:$X$96,24)</f>
        <v>0</v>
      </c>
      <c r="J16" s="45">
        <f>VLOOKUP($A16,'NG-Sept-Bill'!$A$15:$X$96,24)</f>
        <v>0</v>
      </c>
      <c r="K16" s="45">
        <f>VLOOKUP($A16,'NG-Oct-Bill'!$A$15:$X$96,24)</f>
        <v>0</v>
      </c>
      <c r="L16" s="45">
        <f>VLOOKUP($A16,'NG-Nov-Bill'!$A$15:$X$96,24)</f>
        <v>0</v>
      </c>
      <c r="M16" s="45">
        <f>VLOOKUP($A16,'NG-Dec-Bill'!$A$15:$X$96,24)</f>
        <v>0</v>
      </c>
      <c r="O16" s="45">
        <f t="shared" si="0"/>
        <v>0</v>
      </c>
    </row>
    <row r="17" spans="1:15">
      <c r="A17" s="44">
        <v>208811116</v>
      </c>
      <c r="B17" s="45">
        <f>VLOOKUP($A17,'NG-Jan-Bill'!$A$15:$X$96,24)</f>
        <v>0</v>
      </c>
      <c r="C17" s="45">
        <f>VLOOKUP($A17,'NG-Feb-Bill'!$A$15:$X$96,24)</f>
        <v>0</v>
      </c>
      <c r="D17" s="45">
        <f>VLOOKUP($A17,'NG_Mar-Bill'!$A$15:$X$96,24)</f>
        <v>0</v>
      </c>
      <c r="E17" s="45">
        <f>VLOOKUP($A17,'NG-Apr-Bill'!$A$15:$X$96,24)</f>
        <v>0</v>
      </c>
      <c r="F17" s="45">
        <f>VLOOKUP($A17,'NG-May-Bill'!$A$15:$X$96,24)</f>
        <v>0</v>
      </c>
      <c r="G17" s="45">
        <f>VLOOKUP($A17,'NG-Jun-Bill'!$A$15:$X$96,24)</f>
        <v>0</v>
      </c>
      <c r="H17" s="45">
        <f>VLOOKUP($A17,'NG-Jul-Bill'!$A$15:$X$96,24)</f>
        <v>0</v>
      </c>
      <c r="I17" s="45">
        <f>VLOOKUP($A17,'NG-Aug-Bill'!$A$15:$X$96,24)</f>
        <v>0</v>
      </c>
      <c r="J17" s="45">
        <f>VLOOKUP($A17,'NG-Sept-Bill'!$A$15:$X$96,24)</f>
        <v>0</v>
      </c>
      <c r="K17" s="45">
        <f>VLOOKUP($A17,'NG-Oct-Bill'!$A$15:$X$96,24)</f>
        <v>0</v>
      </c>
      <c r="L17" s="45">
        <f>VLOOKUP($A17,'NG-Nov-Bill'!$A$15:$X$96,24)</f>
        <v>0</v>
      </c>
      <c r="M17" s="45">
        <f>VLOOKUP($A17,'NG-Dec-Bill'!$A$15:$X$96,24)</f>
        <v>0</v>
      </c>
      <c r="O17" s="45">
        <f t="shared" si="0"/>
        <v>0</v>
      </c>
    </row>
    <row r="18" spans="1:15">
      <c r="A18" s="44">
        <v>248811109</v>
      </c>
      <c r="B18" s="45">
        <f>VLOOKUP($A18,'NG-Jan-Bill'!$A$15:$X$96,24)</f>
        <v>286.5</v>
      </c>
      <c r="C18" s="45">
        <f>VLOOKUP($A18,'NG-Feb-Bill'!$A$15:$X$96,24)</f>
        <v>283.48</v>
      </c>
      <c r="D18" s="45">
        <f>VLOOKUP($A18,'NG_Mar-Bill'!$A$15:$X$96,24)</f>
        <v>268.66000000000003</v>
      </c>
      <c r="E18" s="45">
        <f>VLOOKUP($A18,'NG-Apr-Bill'!$A$15:$X$96,24)</f>
        <v>208.39</v>
      </c>
      <c r="F18" s="45">
        <f>VLOOKUP($A18,'NG-May-Bill'!$A$15:$X$96,24)</f>
        <v>113.46</v>
      </c>
      <c r="G18" s="45">
        <f>VLOOKUP($A18,'NG-Jun-Bill'!$A$15:$X$96,24)</f>
        <v>52.05</v>
      </c>
      <c r="H18" s="45">
        <f>VLOOKUP($A18,'NG-Jul-Bill'!$A$15:$X$96,24)</f>
        <v>41.97</v>
      </c>
      <c r="I18" s="45">
        <f>VLOOKUP($A18,'NG-Aug-Bill'!$A$15:$X$96,24)</f>
        <v>43.23</v>
      </c>
      <c r="J18" s="45">
        <f>VLOOKUP($A18,'NG-Sept-Bill'!$A$15:$X$96,24)</f>
        <v>44.37</v>
      </c>
      <c r="K18" s="45">
        <f>VLOOKUP($A18,'NG-Oct-Bill'!$A$15:$X$96,24)</f>
        <v>54.21</v>
      </c>
      <c r="L18" s="45">
        <f>VLOOKUP($A18,'NG-Nov-Bill'!$A$15:$X$96,24)</f>
        <v>119.19</v>
      </c>
      <c r="M18" s="45">
        <f>VLOOKUP($A18,'NG-Dec-Bill'!$A$15:$X$96,24)</f>
        <v>204.9</v>
      </c>
      <c r="O18" s="45">
        <f t="shared" si="0"/>
        <v>1720.4100000000003</v>
      </c>
    </row>
    <row r="19" spans="1:15">
      <c r="A19" s="44">
        <v>288811101</v>
      </c>
      <c r="B19" s="45">
        <f>VLOOKUP($A19,'NG-Jan-Bill'!$A$15:$X$96,24)</f>
        <v>0</v>
      </c>
      <c r="C19" s="45">
        <f>VLOOKUP($A19,'NG-Feb-Bill'!$A$15:$X$96,24)</f>
        <v>0</v>
      </c>
      <c r="D19" s="45">
        <f>VLOOKUP($A19,'NG_Mar-Bill'!$A$15:$X$96,24)</f>
        <v>0</v>
      </c>
      <c r="E19" s="45">
        <f>VLOOKUP($A19,'NG-Apr-Bill'!$A$15:$X$96,24)</f>
        <v>0</v>
      </c>
      <c r="F19" s="45">
        <f>VLOOKUP($A19,'NG-May-Bill'!$A$15:$X$96,24)</f>
        <v>0</v>
      </c>
      <c r="G19" s="45">
        <f>VLOOKUP($A19,'NG-Jun-Bill'!$A$15:$X$96,24)</f>
        <v>0</v>
      </c>
      <c r="H19" s="45">
        <f>VLOOKUP($A19,'NG-Jul-Bill'!$A$15:$X$96,24)</f>
        <v>0</v>
      </c>
      <c r="I19" s="45">
        <f>VLOOKUP($A19,'NG-Aug-Bill'!$A$15:$X$96,24)</f>
        <v>0</v>
      </c>
      <c r="J19" s="45">
        <f>VLOOKUP($A19,'NG-Sept-Bill'!$A$15:$X$96,24)</f>
        <v>0</v>
      </c>
      <c r="K19" s="45">
        <f>VLOOKUP($A19,'NG-Oct-Bill'!$A$15:$X$96,24)</f>
        <v>0</v>
      </c>
      <c r="L19" s="45">
        <f>VLOOKUP($A19,'NG-Nov-Bill'!$A$15:$X$96,24)</f>
        <v>0</v>
      </c>
      <c r="M19" s="45">
        <f>VLOOKUP($A19,'NG-Dec-Bill'!$A$15:$X$96,24)</f>
        <v>0</v>
      </c>
      <c r="O19" s="45">
        <f t="shared" si="0"/>
        <v>0</v>
      </c>
    </row>
    <row r="20" spans="1:15">
      <c r="A20" s="44">
        <v>293879106</v>
      </c>
      <c r="B20" s="45">
        <f>VLOOKUP($A20,'NG-Jan-Bill'!$A$15:$X$96,24)</f>
        <v>0</v>
      </c>
      <c r="C20" s="45">
        <f>VLOOKUP($A20,'NG-Feb-Bill'!$A$15:$X$96,24)</f>
        <v>0</v>
      </c>
      <c r="D20" s="45">
        <f>VLOOKUP($A20,'NG_Mar-Bill'!$A$15:$X$96,24)</f>
        <v>0</v>
      </c>
      <c r="E20" s="45">
        <f>VLOOKUP($A20,'NG-Apr-Bill'!$A$15:$X$96,24)</f>
        <v>0</v>
      </c>
      <c r="F20" s="45">
        <f>VLOOKUP($A20,'NG-May-Bill'!$A$15:$X$96,24)</f>
        <v>0</v>
      </c>
      <c r="G20" s="45">
        <f>VLOOKUP($A20,'NG-Jun-Bill'!$A$15:$X$96,24)</f>
        <v>0</v>
      </c>
      <c r="H20" s="45">
        <f>VLOOKUP($A20,'NG-Jul-Bill'!$A$15:$X$96,24)</f>
        <v>0</v>
      </c>
      <c r="I20" s="45">
        <f>VLOOKUP($A20,'NG-Aug-Bill'!$A$15:$X$96,24)</f>
        <v>0</v>
      </c>
      <c r="J20" s="45">
        <f>VLOOKUP($A20,'NG-Sept-Bill'!$A$15:$X$96,24)</f>
        <v>0</v>
      </c>
      <c r="K20" s="45">
        <f>VLOOKUP($A20,'NG-Oct-Bill'!$A$15:$X$96,24)</f>
        <v>0</v>
      </c>
      <c r="L20" s="45">
        <f>VLOOKUP($A20,'NG-Nov-Bill'!$A$15:$X$96,24)</f>
        <v>0</v>
      </c>
      <c r="M20" s="45">
        <f>VLOOKUP($A20,'NG-Dec-Bill'!$A$15:$X$96,24)</f>
        <v>0</v>
      </c>
      <c r="O20" s="45">
        <f t="shared" si="0"/>
        <v>0</v>
      </c>
    </row>
    <row r="21" spans="1:15">
      <c r="A21" s="44">
        <v>308809118</v>
      </c>
      <c r="B21" s="45">
        <f>VLOOKUP($A21,'NG-Jan-Bill'!$A$15:$X$96,24)</f>
        <v>407.55</v>
      </c>
      <c r="C21" s="45">
        <f>VLOOKUP($A21,'NG-Feb-Bill'!$A$15:$X$96,24)</f>
        <v>449.95</v>
      </c>
      <c r="D21" s="45">
        <f>VLOOKUP($A21,'NG_Mar-Bill'!$A$15:$X$96,24)</f>
        <v>405.31</v>
      </c>
      <c r="E21" s="45">
        <f>VLOOKUP($A21,'NG-Apr-Bill'!$A$15:$X$96,24)</f>
        <v>326.67</v>
      </c>
      <c r="F21" s="45">
        <f>VLOOKUP($A21,'NG-May-Bill'!$A$15:$X$96,24)</f>
        <v>144.28</v>
      </c>
      <c r="G21" s="45">
        <f>VLOOKUP($A21,'NG-Jun-Bill'!$A$15:$X$96,24)</f>
        <v>71.709999999999994</v>
      </c>
      <c r="H21" s="45">
        <f>VLOOKUP($A21,'NG-Jul-Bill'!$A$15:$X$96,24)</f>
        <v>42.21</v>
      </c>
      <c r="I21" s="45">
        <f>VLOOKUP($A21,'NG-Aug-Bill'!$A$15:$X$96,24)</f>
        <v>48.5</v>
      </c>
      <c r="J21" s="45">
        <f>VLOOKUP($A21,'NG-Sept-Bill'!$A$15:$X$96,24)</f>
        <v>48.8</v>
      </c>
      <c r="K21" s="45">
        <f>VLOOKUP($A21,'NG-Oct-Bill'!$A$15:$X$96,24)</f>
        <v>61.61</v>
      </c>
      <c r="L21" s="45">
        <f>VLOOKUP($A21,'NG-Nov-Bill'!$A$15:$X$96,24)</f>
        <v>144.08000000000001</v>
      </c>
      <c r="M21" s="45">
        <f>VLOOKUP($A21,'NG-Dec-Bill'!$A$15:$X$96,24)</f>
        <v>310.35000000000002</v>
      </c>
      <c r="O21" s="45">
        <f t="shared" si="0"/>
        <v>2461.02</v>
      </c>
    </row>
    <row r="22" spans="1:15">
      <c r="A22" s="44">
        <v>375074007</v>
      </c>
      <c r="B22" s="45">
        <f>VLOOKUP($A22,'NG-Jan-Bill'!$A$15:$X$96,24)</f>
        <v>0</v>
      </c>
      <c r="C22" s="45">
        <f>VLOOKUP($A22,'NG-Feb-Bill'!$A$15:$X$96,24)</f>
        <v>0</v>
      </c>
      <c r="D22" s="45">
        <f>VLOOKUP($A22,'NG_Mar-Bill'!$A$15:$X$96,24)</f>
        <v>0</v>
      </c>
      <c r="E22" s="45">
        <f>VLOOKUP($A22,'NG-Apr-Bill'!$A$15:$X$96,24)</f>
        <v>0</v>
      </c>
      <c r="F22" s="45">
        <f>VLOOKUP($A22,'NG-May-Bill'!$A$15:$X$96,24)</f>
        <v>0</v>
      </c>
      <c r="G22" s="45">
        <f>VLOOKUP($A22,'NG-Jun-Bill'!$A$15:$X$96,24)</f>
        <v>0</v>
      </c>
      <c r="H22" s="45">
        <f>VLOOKUP($A22,'NG-Jul-Bill'!$A$15:$X$96,24)</f>
        <v>0</v>
      </c>
      <c r="I22" s="45">
        <f>VLOOKUP($A22,'NG-Aug-Bill'!$A$15:$X$96,24)</f>
        <v>0</v>
      </c>
      <c r="J22" s="45">
        <f>VLOOKUP($A22,'NG-Sept-Bill'!$A$15:$X$96,24)</f>
        <v>0</v>
      </c>
      <c r="K22" s="45">
        <f>VLOOKUP($A22,'NG-Oct-Bill'!$A$15:$X$96,24)</f>
        <v>0</v>
      </c>
      <c r="L22" s="45">
        <f>VLOOKUP($A22,'NG-Nov-Bill'!$A$15:$X$96,24)</f>
        <v>0</v>
      </c>
      <c r="M22" s="45">
        <f>VLOOKUP($A22,'NG-Dec-Bill'!$A$15:$X$96,24)</f>
        <v>0</v>
      </c>
      <c r="O22" s="45">
        <f t="shared" si="0"/>
        <v>0</v>
      </c>
    </row>
    <row r="23" spans="1:15">
      <c r="A23" s="44">
        <v>783104003</v>
      </c>
      <c r="B23" s="45">
        <f>VLOOKUP($A23,'NG-Jan-Bill'!$A$15:$X$96,24)</f>
        <v>0</v>
      </c>
      <c r="C23" s="45">
        <f>VLOOKUP($A23,'NG-Feb-Bill'!$A$15:$X$96,24)</f>
        <v>0</v>
      </c>
      <c r="D23" s="45">
        <f>VLOOKUP($A23,'NG_Mar-Bill'!$A$15:$X$96,24)</f>
        <v>0</v>
      </c>
      <c r="E23" s="45">
        <f>VLOOKUP($A23,'NG-Apr-Bill'!$A$15:$X$96,24)</f>
        <v>0</v>
      </c>
      <c r="F23" s="45">
        <f>VLOOKUP($A23,'NG-May-Bill'!$A$15:$X$96,24)</f>
        <v>0</v>
      </c>
      <c r="G23" s="45">
        <f>VLOOKUP($A23,'NG-Jun-Bill'!$A$15:$X$96,24)</f>
        <v>0</v>
      </c>
      <c r="H23" s="45">
        <f>VLOOKUP($A23,'NG-Jul-Bill'!$A$15:$X$96,24)</f>
        <v>0</v>
      </c>
      <c r="I23" s="45">
        <f>VLOOKUP($A23,'NG-Aug-Bill'!$A$15:$X$96,24)</f>
        <v>0</v>
      </c>
      <c r="J23" s="45">
        <f>VLOOKUP($A23,'NG-Sept-Bill'!$A$15:$X$96,24)</f>
        <v>0</v>
      </c>
      <c r="K23" s="45">
        <f>VLOOKUP($A23,'NG-Oct-Bill'!$A$15:$X$96,24)</f>
        <v>0</v>
      </c>
      <c r="L23" s="45">
        <f>VLOOKUP($A23,'NG-Nov-Bill'!$A$15:$X$96,24)</f>
        <v>0</v>
      </c>
      <c r="M23" s="45">
        <f>VLOOKUP($A23,'NG-Dec-Bill'!$A$15:$X$96,24)</f>
        <v>0</v>
      </c>
      <c r="O23" s="45">
        <f t="shared" si="0"/>
        <v>0</v>
      </c>
    </row>
    <row r="24" spans="1:15">
      <c r="A24" s="44">
        <v>852028007</v>
      </c>
      <c r="B24" s="45">
        <f>VLOOKUP($A24,'NG-Jan-Bill'!$A$15:$X$96,24)</f>
        <v>153.47</v>
      </c>
      <c r="C24" s="45">
        <f>VLOOKUP($A24,'NG-Feb-Bill'!$A$15:$X$96,24)</f>
        <v>157.75</v>
      </c>
      <c r="D24" s="45">
        <f>VLOOKUP($A24,'NG_Mar-Bill'!$A$15:$X$96,24)</f>
        <v>137.19999999999999</v>
      </c>
      <c r="E24" s="45">
        <f>VLOOKUP($A24,'NG-Apr-Bill'!$A$15:$X$96,24)</f>
        <v>92.82</v>
      </c>
      <c r="F24" s="45">
        <f>VLOOKUP($A24,'NG-May-Bill'!$A$15:$X$96,24)</f>
        <v>41.04</v>
      </c>
      <c r="G24" s="45">
        <f>VLOOKUP($A24,'NG-Jun-Bill'!$A$15:$X$96,24)</f>
        <v>26.46</v>
      </c>
      <c r="H24" s="45">
        <f>VLOOKUP($A24,'NG-Jul-Bill'!$A$15:$X$96,24)</f>
        <v>23.8</v>
      </c>
      <c r="I24" s="45">
        <f>VLOOKUP($A24,'NG-Aug-Bill'!$A$15:$X$96,24)</f>
        <v>24.51</v>
      </c>
      <c r="J24" s="45">
        <f>VLOOKUP($A24,'NG-Sept-Bill'!$A$15:$X$96,24)</f>
        <v>26.59</v>
      </c>
      <c r="K24" s="45">
        <f>VLOOKUP($A24,'NG-Oct-Bill'!$A$15:$X$96,24)</f>
        <v>44.31</v>
      </c>
      <c r="L24" s="45">
        <f>VLOOKUP($A24,'NG-Nov-Bill'!$A$15:$X$96,24)</f>
        <v>120.98</v>
      </c>
      <c r="M24" s="45">
        <f>VLOOKUP($A24,'NG-Dec-Bill'!$A$15:$X$96,24)</f>
        <v>176.56</v>
      </c>
      <c r="O24" s="45">
        <f t="shared" si="0"/>
        <v>1025.49</v>
      </c>
    </row>
    <row r="25" spans="1:15">
      <c r="A25" s="44">
        <v>893816110</v>
      </c>
      <c r="B25" s="45">
        <f>VLOOKUP($A25,'NG-Jan-Bill'!$A$15:$X$96,24)</f>
        <v>0</v>
      </c>
      <c r="C25" s="45">
        <f>VLOOKUP($A25,'NG-Feb-Bill'!$A$15:$X$96,24)</f>
        <v>0</v>
      </c>
      <c r="D25" s="45">
        <f>VLOOKUP($A25,'NG_Mar-Bill'!$A$15:$X$96,24)</f>
        <v>0</v>
      </c>
      <c r="E25" s="45">
        <f>VLOOKUP($A25,'NG-Apr-Bill'!$A$15:$X$96,24)</f>
        <v>0</v>
      </c>
      <c r="F25" s="45">
        <f>VLOOKUP($A25,'NG-May-Bill'!$A$15:$X$96,24)</f>
        <v>0</v>
      </c>
      <c r="G25" s="45">
        <f>VLOOKUP($A25,'NG-Jun-Bill'!$A$15:$X$96,24)</f>
        <v>0</v>
      </c>
      <c r="H25" s="45">
        <f>VLOOKUP($A25,'NG-Jul-Bill'!$A$15:$X$96,24)</f>
        <v>0</v>
      </c>
      <c r="I25" s="45">
        <f>VLOOKUP($A25,'NG-Aug-Bill'!$A$15:$X$96,24)</f>
        <v>0</v>
      </c>
      <c r="J25" s="45">
        <f>VLOOKUP($A25,'NG-Sept-Bill'!$A$15:$X$96,24)</f>
        <v>0</v>
      </c>
      <c r="K25" s="45">
        <f>VLOOKUP($A25,'NG-Oct-Bill'!$A$15:$X$96,24)</f>
        <v>0</v>
      </c>
      <c r="L25" s="45">
        <f>VLOOKUP($A25,'NG-Nov-Bill'!$A$15:$X$96,24)</f>
        <v>0</v>
      </c>
      <c r="M25" s="45">
        <f>VLOOKUP($A25,'NG-Dec-Bill'!$A$15:$X$96,24)</f>
        <v>0</v>
      </c>
      <c r="O25" s="45">
        <f t="shared" si="0"/>
        <v>0</v>
      </c>
    </row>
    <row r="26" spans="1:15">
      <c r="A26" s="44">
        <v>893819102</v>
      </c>
      <c r="B26" s="45">
        <f>VLOOKUP($A26,'NG-Jan-Bill'!$A$15:$X$96,24)</f>
        <v>79.56</v>
      </c>
      <c r="C26" s="45">
        <f>VLOOKUP($A26,'NG-Feb-Bill'!$A$15:$X$96,24)</f>
        <v>86.98</v>
      </c>
      <c r="D26" s="45">
        <f>VLOOKUP($A26,'NG_Mar-Bill'!$A$15:$X$96,24)</f>
        <v>88.19</v>
      </c>
      <c r="E26" s="45">
        <f>VLOOKUP($A26,'NG-Apr-Bill'!$A$15:$X$96,24)</f>
        <v>63.06</v>
      </c>
      <c r="F26" s="45">
        <f>VLOOKUP($A26,'NG-May-Bill'!$A$15:$X$96,24)</f>
        <v>28.95</v>
      </c>
      <c r="G26" s="45">
        <f>VLOOKUP($A26,'NG-Jun-Bill'!$A$15:$X$96,24)</f>
        <v>23.77</v>
      </c>
      <c r="H26" s="45">
        <f>VLOOKUP($A26,'NG-Jul-Bill'!$A$15:$X$96,24)</f>
        <v>23.77</v>
      </c>
      <c r="I26" s="45">
        <f>VLOOKUP($A26,'NG-Aug-Bill'!$A$15:$X$96,24)</f>
        <v>23.77</v>
      </c>
      <c r="J26" s="45">
        <f>VLOOKUP($A26,'NG-Sept-Bill'!$A$15:$X$96,24)</f>
        <v>23.77</v>
      </c>
      <c r="K26" s="45">
        <f>VLOOKUP($A26,'NG-Oct-Bill'!$A$15:$X$96,24)</f>
        <v>23.77</v>
      </c>
      <c r="L26" s="45">
        <f>VLOOKUP($A26,'NG-Nov-Bill'!$A$15:$X$96,24)</f>
        <v>44.5</v>
      </c>
      <c r="M26" s="45">
        <f>VLOOKUP($A26,'NG-Dec-Bill'!$A$15:$X$96,24)</f>
        <v>88.08</v>
      </c>
      <c r="O26" s="45">
        <f t="shared" si="0"/>
        <v>598.16999999999996</v>
      </c>
    </row>
    <row r="27" spans="1:15">
      <c r="A27" s="44">
        <v>913819100</v>
      </c>
      <c r="B27" s="45">
        <f>VLOOKUP($A27,'NG-Jan-Bill'!$A$15:$X$96,24)</f>
        <v>124.33</v>
      </c>
      <c r="C27" s="45">
        <f>VLOOKUP($A27,'NG-Feb-Bill'!$A$15:$X$96,24)</f>
        <v>117.44</v>
      </c>
      <c r="D27" s="45">
        <f>VLOOKUP($A27,'NG_Mar-Bill'!$A$15:$X$96,24)</f>
        <v>84.35</v>
      </c>
      <c r="E27" s="45">
        <f>VLOOKUP($A27,'NG-Apr-Bill'!$A$15:$X$96,24)</f>
        <v>59.49</v>
      </c>
      <c r="F27" s="45">
        <f>VLOOKUP($A27,'NG-May-Bill'!$A$15:$X$96,24)</f>
        <v>28.95</v>
      </c>
      <c r="G27" s="45">
        <f>VLOOKUP($A27,'NG-Jun-Bill'!$A$15:$X$96,24)</f>
        <v>23.8</v>
      </c>
      <c r="H27" s="45">
        <f>VLOOKUP($A27,'NG-Jul-Bill'!$A$15:$X$96,24)</f>
        <v>23.77</v>
      </c>
      <c r="I27" s="45">
        <f>VLOOKUP($A27,'NG-Aug-Bill'!$A$15:$X$96,24)</f>
        <v>23.77</v>
      </c>
      <c r="J27" s="45">
        <f>VLOOKUP($A27,'NG-Sept-Bill'!$A$15:$X$96,24)</f>
        <v>23.77</v>
      </c>
      <c r="K27" s="45">
        <f>VLOOKUP($A27,'NG-Oct-Bill'!$A$15:$X$96,24)</f>
        <v>25.09</v>
      </c>
      <c r="L27" s="45">
        <f>VLOOKUP($A27,'NG-Nov-Bill'!$A$15:$X$96,24)</f>
        <v>45.85</v>
      </c>
      <c r="M27" s="45">
        <f>VLOOKUP($A27,'NG-Dec-Bill'!$A$15:$X$96,24)</f>
        <v>86.48</v>
      </c>
      <c r="O27" s="45">
        <f t="shared" si="0"/>
        <v>667.09</v>
      </c>
    </row>
    <row r="28" spans="1:15">
      <c r="A28" s="44">
        <v>933819115</v>
      </c>
      <c r="B28" s="45">
        <f>VLOOKUP($A28,'NG-Jan-Bill'!$A$15:$X$96,24)</f>
        <v>151.16</v>
      </c>
      <c r="C28" s="45">
        <f>VLOOKUP($A28,'NG-Feb-Bill'!$A$15:$X$96,24)</f>
        <v>178.28</v>
      </c>
      <c r="D28" s="45">
        <f>VLOOKUP($A28,'NG_Mar-Bill'!$A$15:$X$96,24)</f>
        <v>140.41</v>
      </c>
      <c r="E28" s="45">
        <f>VLOOKUP($A28,'NG-Apr-Bill'!$A$15:$X$96,24)</f>
        <v>109.64</v>
      </c>
      <c r="F28" s="45">
        <f>VLOOKUP($A28,'NG-May-Bill'!$A$15:$X$96,24)</f>
        <v>36.32</v>
      </c>
      <c r="G28" s="45">
        <f>VLOOKUP($A28,'NG-Jun-Bill'!$A$15:$X$96,24)</f>
        <v>25.47</v>
      </c>
      <c r="H28" s="45">
        <f>VLOOKUP($A28,'NG-Jul-Bill'!$A$15:$X$96,24)</f>
        <v>23.77</v>
      </c>
      <c r="I28" s="45">
        <f>VLOOKUP($A28,'NG-Aug-Bill'!$A$15:$X$96,24)</f>
        <v>23.77</v>
      </c>
      <c r="J28" s="45">
        <f>VLOOKUP($A28,'NG-Sept-Bill'!$A$15:$X$96,24)</f>
        <v>23.77</v>
      </c>
      <c r="K28" s="45">
        <f>VLOOKUP($A28,'NG-Oct-Bill'!$A$15:$X$96,24)</f>
        <v>24.36</v>
      </c>
      <c r="L28" s="45">
        <f>VLOOKUP($A28,'NG-Nov-Bill'!$A$15:$X$96,24)</f>
        <v>58.66</v>
      </c>
      <c r="M28" s="45">
        <f>VLOOKUP($A28,'NG-Dec-Bill'!$A$15:$X$96,24)</f>
        <v>89.04</v>
      </c>
      <c r="O28" s="45">
        <f t="shared" si="0"/>
        <v>884.65</v>
      </c>
    </row>
    <row r="29" spans="1:15">
      <c r="A29" s="44">
        <v>948810124</v>
      </c>
      <c r="B29" s="45">
        <f>VLOOKUP($A29,'NG-Jan-Bill'!$A$15:$X$96,24)</f>
        <v>0</v>
      </c>
      <c r="C29" s="45">
        <f>VLOOKUP($A29,'NG-Feb-Bill'!$A$15:$X$96,24)</f>
        <v>0</v>
      </c>
      <c r="D29" s="45">
        <f>VLOOKUP($A29,'NG_Mar-Bill'!$A$15:$X$96,24)</f>
        <v>0</v>
      </c>
      <c r="E29" s="45">
        <f>VLOOKUP($A29,'NG-Apr-Bill'!$A$15:$X$96,24)</f>
        <v>0</v>
      </c>
      <c r="F29" s="45">
        <f>VLOOKUP($A29,'NG-May-Bill'!$A$15:$X$96,24)</f>
        <v>0</v>
      </c>
      <c r="G29" s="45">
        <f>VLOOKUP($A29,'NG-Jun-Bill'!$A$15:$X$96,24)</f>
        <v>0</v>
      </c>
      <c r="H29" s="45">
        <f>VLOOKUP($A29,'NG-Jul-Bill'!$A$15:$X$96,24)</f>
        <v>0</v>
      </c>
      <c r="I29" s="45">
        <f>VLOOKUP($A29,'NG-Aug-Bill'!$A$15:$X$96,24)</f>
        <v>0</v>
      </c>
      <c r="J29" s="45">
        <f>VLOOKUP($A29,'NG-Sept-Bill'!$A$15:$X$96,24)</f>
        <v>0</v>
      </c>
      <c r="K29" s="45">
        <f>VLOOKUP($A29,'NG-Oct-Bill'!$A$15:$X$96,24)</f>
        <v>0</v>
      </c>
      <c r="L29" s="45">
        <f>VLOOKUP($A29,'NG-Nov-Bill'!$A$15:$X$96,24)</f>
        <v>0</v>
      </c>
      <c r="M29" s="45">
        <f>VLOOKUP($A29,'NG-Dec-Bill'!$A$15:$X$96,24)</f>
        <v>0</v>
      </c>
      <c r="O29" s="45">
        <f t="shared" si="0"/>
        <v>0</v>
      </c>
    </row>
    <row r="30" spans="1:15">
      <c r="A30" s="44">
        <v>1028809119</v>
      </c>
      <c r="B30" s="45">
        <f>VLOOKUP($A30,'NG-Jan-Bill'!$A$15:$X$96,24)</f>
        <v>0</v>
      </c>
      <c r="C30" s="45">
        <f>VLOOKUP($A30,'NG-Feb-Bill'!$A$15:$X$96,24)</f>
        <v>0</v>
      </c>
      <c r="D30" s="45">
        <f>VLOOKUP($A30,'NG_Mar-Bill'!$A$15:$X$96,24)</f>
        <v>0</v>
      </c>
      <c r="E30" s="45">
        <f>VLOOKUP($A30,'NG-Apr-Bill'!$A$15:$X$96,24)</f>
        <v>0</v>
      </c>
      <c r="F30" s="45">
        <f>VLOOKUP($A30,'NG-May-Bill'!$A$15:$X$96,24)</f>
        <v>0</v>
      </c>
      <c r="G30" s="45">
        <f>VLOOKUP($A30,'NG-Jun-Bill'!$A$15:$X$96,24)</f>
        <v>0</v>
      </c>
      <c r="H30" s="45">
        <f>VLOOKUP($A30,'NG-Jul-Bill'!$A$15:$X$96,24)</f>
        <v>0</v>
      </c>
      <c r="I30" s="45">
        <f>VLOOKUP($A30,'NG-Aug-Bill'!$A$15:$X$96,24)</f>
        <v>0</v>
      </c>
      <c r="J30" s="45">
        <f>VLOOKUP($A30,'NG-Sept-Bill'!$A$15:$X$96,24)</f>
        <v>0</v>
      </c>
      <c r="K30" s="45">
        <f>VLOOKUP($A30,'NG-Oct-Bill'!$A$15:$X$96,24)</f>
        <v>0</v>
      </c>
      <c r="L30" s="45">
        <f>VLOOKUP($A30,'NG-Nov-Bill'!$A$15:$X$96,24)</f>
        <v>0</v>
      </c>
      <c r="M30" s="45">
        <f>VLOOKUP($A30,'NG-Dec-Bill'!$A$15:$X$96,24)</f>
        <v>0</v>
      </c>
      <c r="O30" s="45">
        <f t="shared" si="0"/>
        <v>0</v>
      </c>
    </row>
    <row r="31" spans="1:15">
      <c r="A31" s="44">
        <v>1133133008</v>
      </c>
      <c r="B31" s="45">
        <f>VLOOKUP($A31,'NG-Jan-Bill'!$A$15:$X$96,24)</f>
        <v>0</v>
      </c>
      <c r="C31" s="45">
        <f>VLOOKUP($A31,'NG-Feb-Bill'!$A$15:$X$96,24)</f>
        <v>0</v>
      </c>
      <c r="D31" s="45">
        <f>VLOOKUP($A31,'NG_Mar-Bill'!$A$15:$X$96,24)</f>
        <v>0</v>
      </c>
      <c r="E31" s="45">
        <f>VLOOKUP($A31,'NG-Apr-Bill'!$A$15:$X$96,24)</f>
        <v>0</v>
      </c>
      <c r="F31" s="45">
        <f>VLOOKUP($A31,'NG-May-Bill'!$A$15:$X$96,24)</f>
        <v>0</v>
      </c>
      <c r="G31" s="45">
        <f>VLOOKUP($A31,'NG-Jun-Bill'!$A$15:$X$96,24)</f>
        <v>0</v>
      </c>
      <c r="H31" s="45">
        <f>VLOOKUP($A31,'NG-Jul-Bill'!$A$15:$X$96,24)</f>
        <v>0</v>
      </c>
      <c r="I31" s="45">
        <f>VLOOKUP($A31,'NG-Aug-Bill'!$A$15:$X$96,24)</f>
        <v>0</v>
      </c>
      <c r="J31" s="45">
        <f>VLOOKUP($A31,'NG-Sept-Bill'!$A$15:$X$96,24)</f>
        <v>0</v>
      </c>
      <c r="K31" s="45">
        <f>VLOOKUP($A31,'NG-Oct-Bill'!$A$15:$X$96,24)</f>
        <v>0</v>
      </c>
      <c r="L31" s="45">
        <f>VLOOKUP($A31,'NG-Nov-Bill'!$A$15:$X$96,24)</f>
        <v>0</v>
      </c>
      <c r="M31" s="45">
        <f>VLOOKUP($A31,'NG-Dec-Bill'!$A$15:$X$96,24)</f>
        <v>0</v>
      </c>
      <c r="O31" s="45">
        <f t="shared" si="0"/>
        <v>0</v>
      </c>
    </row>
    <row r="32" spans="1:15">
      <c r="A32" s="44">
        <v>1133819101</v>
      </c>
      <c r="B32" s="45">
        <f>VLOOKUP($A32,'NG-Jan-Bill'!$A$15:$X$96,24)</f>
        <v>0</v>
      </c>
      <c r="C32" s="45">
        <f>VLOOKUP($A32,'NG-Feb-Bill'!$A$15:$X$96,24)</f>
        <v>0</v>
      </c>
      <c r="D32" s="45">
        <f>VLOOKUP($A32,'NG_Mar-Bill'!$A$15:$X$96,24)</f>
        <v>0</v>
      </c>
      <c r="E32" s="45">
        <f>VLOOKUP($A32,'NG-Apr-Bill'!$A$15:$X$96,24)</f>
        <v>0</v>
      </c>
      <c r="F32" s="45">
        <f>VLOOKUP($A32,'NG-May-Bill'!$A$15:$X$96,24)</f>
        <v>0</v>
      </c>
      <c r="G32" s="45">
        <f>VLOOKUP($A32,'NG-Jun-Bill'!$A$15:$X$96,24)</f>
        <v>0</v>
      </c>
      <c r="H32" s="45">
        <f>VLOOKUP($A32,'NG-Jul-Bill'!$A$15:$X$96,24)</f>
        <v>0</v>
      </c>
      <c r="I32" s="45">
        <f>VLOOKUP($A32,'NG-Aug-Bill'!$A$15:$X$96,24)</f>
        <v>0</v>
      </c>
      <c r="J32" s="45">
        <f>VLOOKUP($A32,'NG-Sept-Bill'!$A$15:$X$96,24)</f>
        <v>0</v>
      </c>
      <c r="K32" s="45">
        <f>VLOOKUP($A32,'NG-Oct-Bill'!$A$15:$X$96,24)</f>
        <v>0</v>
      </c>
      <c r="L32" s="45">
        <f>VLOOKUP($A32,'NG-Nov-Bill'!$A$15:$X$96,24)</f>
        <v>0</v>
      </c>
      <c r="M32" s="45">
        <f>VLOOKUP($A32,'NG-Dec-Bill'!$A$15:$X$96,24)</f>
        <v>0</v>
      </c>
      <c r="O32" s="45">
        <f t="shared" si="0"/>
        <v>0</v>
      </c>
    </row>
    <row r="33" spans="1:15">
      <c r="A33" s="44">
        <v>1193808115</v>
      </c>
      <c r="B33" s="45">
        <f>VLOOKUP($A33,'NG-Jan-Bill'!$A$15:$X$96,24)</f>
        <v>0</v>
      </c>
      <c r="C33" s="45">
        <f>VLOOKUP($A33,'NG-Feb-Bill'!$A$15:$X$96,24)</f>
        <v>0</v>
      </c>
      <c r="D33" s="45">
        <f>VLOOKUP($A33,'NG_Mar-Bill'!$A$15:$X$96,24)</f>
        <v>0</v>
      </c>
      <c r="E33" s="45">
        <f>VLOOKUP($A33,'NG-Apr-Bill'!$A$15:$X$96,24)</f>
        <v>0</v>
      </c>
      <c r="F33" s="45">
        <f>VLOOKUP($A33,'NG-May-Bill'!$A$15:$X$96,24)</f>
        <v>0</v>
      </c>
      <c r="G33" s="45">
        <f>VLOOKUP($A33,'NG-Jun-Bill'!$A$15:$X$96,24)</f>
        <v>0</v>
      </c>
      <c r="H33" s="45">
        <f>VLOOKUP($A33,'NG-Jul-Bill'!$A$15:$X$96,24)</f>
        <v>0</v>
      </c>
      <c r="I33" s="45">
        <f>VLOOKUP($A33,'NG-Aug-Bill'!$A$15:$X$96,24)</f>
        <v>0</v>
      </c>
      <c r="J33" s="45">
        <f>VLOOKUP($A33,'NG-Sept-Bill'!$A$15:$X$96,24)</f>
        <v>0</v>
      </c>
      <c r="K33" s="45">
        <f>VLOOKUP($A33,'NG-Oct-Bill'!$A$15:$X$96,24)</f>
        <v>0</v>
      </c>
      <c r="L33" s="45">
        <f>VLOOKUP($A33,'NG-Nov-Bill'!$A$15:$X$96,24)</f>
        <v>0</v>
      </c>
      <c r="M33" s="45">
        <f>VLOOKUP($A33,'NG-Dec-Bill'!$A$15:$X$96,24)</f>
        <v>0</v>
      </c>
      <c r="O33" s="45">
        <f t="shared" si="0"/>
        <v>0</v>
      </c>
    </row>
    <row r="34" spans="1:15">
      <c r="A34" s="44">
        <v>1492627005</v>
      </c>
      <c r="B34" s="45">
        <f>VLOOKUP($A34,'NG-Jan-Bill'!$A$15:$X$96,24)</f>
        <v>0</v>
      </c>
      <c r="C34" s="45">
        <f>VLOOKUP($A34,'NG-Feb-Bill'!$A$15:$X$96,24)</f>
        <v>0</v>
      </c>
      <c r="D34" s="45">
        <f>VLOOKUP($A34,'NG_Mar-Bill'!$A$15:$X$96,24)</f>
        <v>0</v>
      </c>
      <c r="E34" s="45">
        <f>VLOOKUP($A34,'NG-Apr-Bill'!$A$15:$X$96,24)</f>
        <v>0</v>
      </c>
      <c r="F34" s="45">
        <f>VLOOKUP($A34,'NG-May-Bill'!$A$15:$X$96,24)</f>
        <v>0</v>
      </c>
      <c r="G34" s="45">
        <f>VLOOKUP($A34,'NG-Jun-Bill'!$A$15:$X$96,24)</f>
        <v>0</v>
      </c>
      <c r="H34" s="45">
        <f>VLOOKUP($A34,'NG-Jul-Bill'!$A$15:$X$96,24)</f>
        <v>0</v>
      </c>
      <c r="I34" s="45">
        <f>VLOOKUP($A34,'NG-Aug-Bill'!$A$15:$X$96,24)</f>
        <v>0</v>
      </c>
      <c r="J34" s="45">
        <f>VLOOKUP($A34,'NG-Sept-Bill'!$A$15:$X$96,24)</f>
        <v>0</v>
      </c>
      <c r="K34" s="45">
        <f>VLOOKUP($A34,'NG-Oct-Bill'!$A$15:$X$96,24)</f>
        <v>0</v>
      </c>
      <c r="L34" s="45">
        <f>VLOOKUP($A34,'NG-Nov-Bill'!$A$15:$X$96,24)</f>
        <v>0</v>
      </c>
      <c r="M34" s="45">
        <f>VLOOKUP($A34,'NG-Dec-Bill'!$A$15:$X$96,24)</f>
        <v>0</v>
      </c>
      <c r="O34" s="45">
        <f t="shared" si="0"/>
        <v>0</v>
      </c>
    </row>
    <row r="35" spans="1:15">
      <c r="A35" s="44">
        <v>1513818115</v>
      </c>
      <c r="B35" s="45">
        <f>VLOOKUP($A35,'NG-Jan-Bill'!$A$15:$X$96,24)</f>
        <v>0</v>
      </c>
      <c r="C35" s="45">
        <f>VLOOKUP($A35,'NG-Feb-Bill'!$A$15:$X$96,24)</f>
        <v>0</v>
      </c>
      <c r="D35" s="45">
        <f>VLOOKUP($A35,'NG_Mar-Bill'!$A$15:$X$96,24)</f>
        <v>0</v>
      </c>
      <c r="E35" s="45">
        <f>VLOOKUP($A35,'NG-Apr-Bill'!$A$15:$X$96,24)</f>
        <v>0</v>
      </c>
      <c r="F35" s="45">
        <f>VLOOKUP($A35,'NG-May-Bill'!$A$15:$X$96,24)</f>
        <v>0</v>
      </c>
      <c r="G35" s="45">
        <f>VLOOKUP($A35,'NG-Jun-Bill'!$A$15:$X$96,24)</f>
        <v>0</v>
      </c>
      <c r="H35" s="45">
        <f>VLOOKUP($A35,'NG-Jul-Bill'!$A$15:$X$96,24)</f>
        <v>0</v>
      </c>
      <c r="I35" s="45">
        <f>VLOOKUP($A35,'NG-Aug-Bill'!$A$15:$X$96,24)</f>
        <v>0</v>
      </c>
      <c r="J35" s="45">
        <f>VLOOKUP($A35,'NG-Sept-Bill'!$A$15:$X$96,24)</f>
        <v>0</v>
      </c>
      <c r="K35" s="45">
        <f>VLOOKUP($A35,'NG-Oct-Bill'!$A$15:$X$96,24)</f>
        <v>0</v>
      </c>
      <c r="L35" s="45">
        <f>VLOOKUP($A35,'NG-Nov-Bill'!$A$15:$X$96,24)</f>
        <v>0</v>
      </c>
      <c r="M35" s="45">
        <f>VLOOKUP($A35,'NG-Dec-Bill'!$A$15:$X$96,24)</f>
        <v>0</v>
      </c>
      <c r="O35" s="45">
        <f t="shared" si="0"/>
        <v>0</v>
      </c>
    </row>
    <row r="36" spans="1:15">
      <c r="A36" s="44">
        <v>1608811106</v>
      </c>
      <c r="B36" s="45">
        <f>VLOOKUP($A36,'NG-Jan-Bill'!$A$15:$X$96,24)</f>
        <v>0</v>
      </c>
      <c r="C36" s="45">
        <f>VLOOKUP($A36,'NG-Feb-Bill'!$A$15:$X$96,24)</f>
        <v>0</v>
      </c>
      <c r="D36" s="45">
        <f>VLOOKUP($A36,'NG_Mar-Bill'!$A$15:$X$96,24)</f>
        <v>0</v>
      </c>
      <c r="E36" s="45">
        <f>VLOOKUP($A36,'NG-Apr-Bill'!$A$15:$X$96,24)</f>
        <v>0</v>
      </c>
      <c r="F36" s="45">
        <f>VLOOKUP($A36,'NG-May-Bill'!$A$15:$X$96,24)</f>
        <v>0</v>
      </c>
      <c r="G36" s="45">
        <f>VLOOKUP($A36,'NG-Jun-Bill'!$A$15:$X$96,24)</f>
        <v>0</v>
      </c>
      <c r="H36" s="45">
        <f>VLOOKUP($A36,'NG-Jul-Bill'!$A$15:$X$96,24)</f>
        <v>0</v>
      </c>
      <c r="I36" s="45">
        <f>VLOOKUP($A36,'NG-Aug-Bill'!$A$15:$X$96,24)</f>
        <v>0</v>
      </c>
      <c r="J36" s="45">
        <f>VLOOKUP($A36,'NG-Sept-Bill'!$A$15:$X$96,24)</f>
        <v>0</v>
      </c>
      <c r="K36" s="45">
        <f>VLOOKUP($A36,'NG-Oct-Bill'!$A$15:$X$96,24)</f>
        <v>0</v>
      </c>
      <c r="L36" s="45">
        <f>VLOOKUP($A36,'NG-Nov-Bill'!$A$15:$X$96,24)</f>
        <v>0</v>
      </c>
      <c r="M36" s="45">
        <f>VLOOKUP($A36,'NG-Dec-Bill'!$A$15:$X$96,24)</f>
        <v>0</v>
      </c>
      <c r="O36" s="45">
        <f t="shared" si="0"/>
        <v>0</v>
      </c>
    </row>
    <row r="37" spans="1:15">
      <c r="A37" s="44">
        <v>1653819107</v>
      </c>
      <c r="B37" s="45">
        <f>VLOOKUP($A37,'NG-Jan-Bill'!$A$15:$X$96,24)</f>
        <v>0</v>
      </c>
      <c r="C37" s="45">
        <f>VLOOKUP($A37,'NG-Feb-Bill'!$A$15:$X$96,24)</f>
        <v>0</v>
      </c>
      <c r="D37" s="45">
        <f>VLOOKUP($A37,'NG_Mar-Bill'!$A$15:$X$96,24)</f>
        <v>0</v>
      </c>
      <c r="E37" s="45">
        <f>VLOOKUP($A37,'NG-Apr-Bill'!$A$15:$X$96,24)</f>
        <v>0</v>
      </c>
      <c r="F37" s="45">
        <f>VLOOKUP($A37,'NG-May-Bill'!$A$15:$X$96,24)</f>
        <v>0</v>
      </c>
      <c r="G37" s="45">
        <f>VLOOKUP($A37,'NG-Jun-Bill'!$A$15:$X$96,24)</f>
        <v>0</v>
      </c>
      <c r="H37" s="45">
        <f>VLOOKUP($A37,'NG-Jul-Bill'!$A$15:$X$96,24)</f>
        <v>0</v>
      </c>
      <c r="I37" s="45">
        <f>VLOOKUP($A37,'NG-Aug-Bill'!$A$15:$X$96,24)</f>
        <v>0</v>
      </c>
      <c r="J37" s="45">
        <f>VLOOKUP($A37,'NG-Sept-Bill'!$A$15:$X$96,24)</f>
        <v>0</v>
      </c>
      <c r="K37" s="45">
        <f>VLOOKUP($A37,'NG-Oct-Bill'!$A$15:$X$96,24)</f>
        <v>0</v>
      </c>
      <c r="L37" s="45">
        <f>VLOOKUP($A37,'NG-Nov-Bill'!$A$15:$X$96,24)</f>
        <v>0</v>
      </c>
      <c r="M37" s="45">
        <f>VLOOKUP($A37,'NG-Dec-Bill'!$A$15:$X$96,24)</f>
        <v>0</v>
      </c>
      <c r="O37" s="45">
        <f t="shared" si="0"/>
        <v>0</v>
      </c>
    </row>
    <row r="38" spans="1:15">
      <c r="A38" s="44">
        <v>1833820108</v>
      </c>
      <c r="B38" s="45">
        <f>VLOOKUP($A38,'NG-Jan-Bill'!$A$15:$X$96,24)</f>
        <v>0</v>
      </c>
      <c r="C38" s="45">
        <f>VLOOKUP($A38,'NG-Feb-Bill'!$A$15:$X$96,24)</f>
        <v>0</v>
      </c>
      <c r="D38" s="45">
        <f>VLOOKUP($A38,'NG_Mar-Bill'!$A$15:$X$96,24)</f>
        <v>0</v>
      </c>
      <c r="E38" s="45">
        <f>VLOOKUP($A38,'NG-Apr-Bill'!$A$15:$X$96,24)</f>
        <v>0</v>
      </c>
      <c r="F38" s="45">
        <f>VLOOKUP($A38,'NG-May-Bill'!$A$15:$X$96,24)</f>
        <v>0</v>
      </c>
      <c r="G38" s="45">
        <f>VLOOKUP($A38,'NG-Jun-Bill'!$A$15:$X$96,24)</f>
        <v>0</v>
      </c>
      <c r="H38" s="45">
        <f>VLOOKUP($A38,'NG-Jul-Bill'!$A$15:$X$96,24)</f>
        <v>0</v>
      </c>
      <c r="I38" s="45">
        <f>VLOOKUP($A38,'NG-Aug-Bill'!$A$15:$X$96,24)</f>
        <v>0</v>
      </c>
      <c r="J38" s="45">
        <f>VLOOKUP($A38,'NG-Sept-Bill'!$A$15:$X$96,24)</f>
        <v>0</v>
      </c>
      <c r="K38" s="45">
        <f>VLOOKUP($A38,'NG-Oct-Bill'!$A$15:$X$96,24)</f>
        <v>0</v>
      </c>
      <c r="L38" s="45">
        <f>VLOOKUP($A38,'NG-Nov-Bill'!$A$15:$X$96,24)</f>
        <v>0</v>
      </c>
      <c r="M38" s="45">
        <f>VLOOKUP($A38,'NG-Dec-Bill'!$A$15:$X$96,24)</f>
        <v>0</v>
      </c>
      <c r="O38" s="45">
        <f t="shared" si="0"/>
        <v>0</v>
      </c>
    </row>
    <row r="39" spans="1:15">
      <c r="A39" s="44">
        <v>1851009009</v>
      </c>
      <c r="B39" s="45">
        <f>VLOOKUP($A39,'NG-Jan-Bill'!$A$15:$X$96,24)</f>
        <v>0</v>
      </c>
      <c r="C39" s="45">
        <f>VLOOKUP($A39,'NG-Feb-Bill'!$A$15:$X$96,24)</f>
        <v>0</v>
      </c>
      <c r="D39" s="45">
        <f>VLOOKUP($A39,'NG_Mar-Bill'!$A$15:$X$96,24)</f>
        <v>0</v>
      </c>
      <c r="E39" s="45">
        <f>VLOOKUP($A39,'NG-Apr-Bill'!$A$15:$X$96,24)</f>
        <v>0</v>
      </c>
      <c r="F39" s="45">
        <f>VLOOKUP($A39,'NG-May-Bill'!$A$15:$X$96,24)</f>
        <v>0</v>
      </c>
      <c r="G39" s="45">
        <f>VLOOKUP($A39,'NG-Jun-Bill'!$A$15:$X$96,24)</f>
        <v>0</v>
      </c>
      <c r="H39" s="45">
        <f>VLOOKUP($A39,'NG-Jul-Bill'!$A$15:$X$96,24)</f>
        <v>0</v>
      </c>
      <c r="I39" s="45">
        <f>VLOOKUP($A39,'NG-Aug-Bill'!$A$15:$X$96,24)</f>
        <v>0</v>
      </c>
      <c r="J39" s="45">
        <f>VLOOKUP($A39,'NG-Sept-Bill'!$A$15:$X$96,24)</f>
        <v>0</v>
      </c>
      <c r="K39" s="45">
        <f>VLOOKUP($A39,'NG-Oct-Bill'!$A$15:$X$96,24)</f>
        <v>0</v>
      </c>
      <c r="L39" s="45">
        <f>VLOOKUP($A39,'NG-Nov-Bill'!$A$15:$X$96,24)</f>
        <v>0</v>
      </c>
      <c r="M39" s="45">
        <f>VLOOKUP($A39,'NG-Dec-Bill'!$A$15:$X$96,24)</f>
        <v>0</v>
      </c>
      <c r="O39" s="45">
        <f t="shared" si="0"/>
        <v>0</v>
      </c>
    </row>
    <row r="40" spans="1:15">
      <c r="A40" s="44">
        <v>1933810131</v>
      </c>
      <c r="B40" s="45">
        <f>VLOOKUP($A40,'NG-Jan-Bill'!$A$15:$X$96,24)</f>
        <v>658.39</v>
      </c>
      <c r="C40" s="45">
        <f>VLOOKUP($A40,'NG-Feb-Bill'!$A$15:$X$96,24)</f>
        <v>400.86</v>
      </c>
      <c r="D40" s="45">
        <f>VLOOKUP($A40,'NG_Mar-Bill'!$A$15:$X$96,24)</f>
        <v>334.68</v>
      </c>
      <c r="E40" s="45">
        <f>VLOOKUP($A40,'NG-Apr-Bill'!$A$15:$X$96,24)</f>
        <v>273.89999999999998</v>
      </c>
      <c r="F40" s="45">
        <f>VLOOKUP($A40,'NG-May-Bill'!$A$15:$X$96,24)</f>
        <v>86.25</v>
      </c>
      <c r="G40" s="45">
        <f>VLOOKUP($A40,'NG-Jun-Bill'!$A$15:$X$96,24)</f>
        <v>29.32</v>
      </c>
      <c r="H40" s="45">
        <f>VLOOKUP($A40,'NG-Jul-Bill'!$A$15:$X$96,24)</f>
        <v>24.17</v>
      </c>
      <c r="I40" s="45">
        <f>VLOOKUP($A40,'NG-Aug-Bill'!$A$15:$X$96,24)</f>
        <v>24.17</v>
      </c>
      <c r="J40" s="45">
        <f>VLOOKUP($A40,'NG-Sept-Bill'!$A$15:$X$96,24)</f>
        <v>24.61</v>
      </c>
      <c r="K40" s="45">
        <f>VLOOKUP($A40,'NG-Oct-Bill'!$A$15:$X$96,24)</f>
        <v>31.25</v>
      </c>
      <c r="L40" s="45">
        <f>VLOOKUP($A40,'NG-Nov-Bill'!$A$15:$X$96,24)</f>
        <v>144.29</v>
      </c>
      <c r="M40" s="45">
        <f>VLOOKUP($A40,'NG-Dec-Bill'!$A$15:$X$96,24)</f>
        <v>321.08999999999997</v>
      </c>
      <c r="O40" s="45">
        <f t="shared" si="0"/>
        <v>2352.98</v>
      </c>
    </row>
    <row r="41" spans="1:15">
      <c r="A41" s="44">
        <v>2133819102</v>
      </c>
      <c r="B41" s="45">
        <f>VLOOKUP($A41,'NG-Jan-Bill'!$A$15:$X$96,24)</f>
        <v>0</v>
      </c>
      <c r="C41" s="45">
        <f>VLOOKUP($A41,'NG-Feb-Bill'!$A$15:$X$96,24)</f>
        <v>0</v>
      </c>
      <c r="D41" s="45">
        <f>VLOOKUP($A41,'NG_Mar-Bill'!$A$15:$X$96,24)</f>
        <v>0</v>
      </c>
      <c r="E41" s="45">
        <f>VLOOKUP($A41,'NG-Apr-Bill'!$A$15:$X$96,24)</f>
        <v>0</v>
      </c>
      <c r="F41" s="45">
        <f>VLOOKUP($A41,'NG-May-Bill'!$A$15:$X$96,24)</f>
        <v>0</v>
      </c>
      <c r="G41" s="45">
        <f>VLOOKUP($A41,'NG-Jun-Bill'!$A$15:$X$96,24)</f>
        <v>0</v>
      </c>
      <c r="H41" s="45">
        <f>VLOOKUP($A41,'NG-Jul-Bill'!$A$15:$X$96,24)</f>
        <v>0</v>
      </c>
      <c r="I41" s="45">
        <f>VLOOKUP($A41,'NG-Aug-Bill'!$A$15:$X$96,24)</f>
        <v>0</v>
      </c>
      <c r="J41" s="45">
        <f>VLOOKUP($A41,'NG-Sept-Bill'!$A$15:$X$96,24)</f>
        <v>0</v>
      </c>
      <c r="K41" s="45">
        <f>VLOOKUP($A41,'NG-Oct-Bill'!$A$15:$X$96,24)</f>
        <v>0</v>
      </c>
      <c r="L41" s="45">
        <f>VLOOKUP($A41,'NG-Nov-Bill'!$A$15:$X$96,24)</f>
        <v>0</v>
      </c>
      <c r="M41" s="45">
        <f>VLOOKUP($A41,'NG-Dec-Bill'!$A$15:$X$96,24)</f>
        <v>0</v>
      </c>
      <c r="O41" s="45">
        <f t="shared" si="0"/>
        <v>0</v>
      </c>
    </row>
    <row r="42" spans="1:15">
      <c r="A42" s="44">
        <v>2133821120</v>
      </c>
      <c r="B42" s="45">
        <f>VLOOKUP($A42,'NG-Jan-Bill'!$A$15:$X$96,24)</f>
        <v>0</v>
      </c>
      <c r="C42" s="45">
        <f>VLOOKUP($A42,'NG-Feb-Bill'!$A$15:$X$96,24)</f>
        <v>0</v>
      </c>
      <c r="D42" s="45">
        <f>VLOOKUP($A42,'NG_Mar-Bill'!$A$15:$X$96,24)</f>
        <v>0</v>
      </c>
      <c r="E42" s="45">
        <f>VLOOKUP($A42,'NG-Apr-Bill'!$A$15:$X$96,24)</f>
        <v>0</v>
      </c>
      <c r="F42" s="45">
        <f>VLOOKUP($A42,'NG-May-Bill'!$A$15:$X$96,24)</f>
        <v>0</v>
      </c>
      <c r="G42" s="45">
        <f>VLOOKUP($A42,'NG-Jun-Bill'!$A$15:$X$96,24)</f>
        <v>0</v>
      </c>
      <c r="H42" s="45">
        <f>VLOOKUP($A42,'NG-Jul-Bill'!$A$15:$X$96,24)</f>
        <v>0</v>
      </c>
      <c r="I42" s="45">
        <f>VLOOKUP($A42,'NG-Aug-Bill'!$A$15:$X$96,24)</f>
        <v>0</v>
      </c>
      <c r="J42" s="45">
        <f>VLOOKUP($A42,'NG-Sept-Bill'!$A$15:$X$96,24)</f>
        <v>0</v>
      </c>
      <c r="K42" s="45">
        <f>VLOOKUP($A42,'NG-Oct-Bill'!$A$15:$X$96,24)</f>
        <v>0</v>
      </c>
      <c r="L42" s="45">
        <f>VLOOKUP($A42,'NG-Nov-Bill'!$A$15:$X$96,24)</f>
        <v>0</v>
      </c>
      <c r="M42" s="45">
        <f>VLOOKUP($A42,'NG-Dec-Bill'!$A$15:$X$96,24)</f>
        <v>0</v>
      </c>
      <c r="O42" s="45">
        <f t="shared" si="0"/>
        <v>0</v>
      </c>
    </row>
    <row r="43" spans="1:15">
      <c r="A43" s="44">
        <v>2137454018</v>
      </c>
      <c r="B43" s="45">
        <f>VLOOKUP($A43,'NG-Jan-Bill'!$A$15:$X$96,24)</f>
        <v>0</v>
      </c>
      <c r="C43" s="45">
        <f>VLOOKUP($A43,'NG-Feb-Bill'!$A$15:$X$96,24)</f>
        <v>0</v>
      </c>
      <c r="D43" s="45">
        <f>VLOOKUP($A43,'NG_Mar-Bill'!$A$15:$X$96,24)</f>
        <v>0</v>
      </c>
      <c r="E43" s="45">
        <f>VLOOKUP($A43,'NG-Apr-Bill'!$A$15:$X$96,24)</f>
        <v>0</v>
      </c>
      <c r="F43" s="45">
        <f>VLOOKUP($A43,'NG-May-Bill'!$A$15:$X$96,24)</f>
        <v>0</v>
      </c>
      <c r="G43" s="45">
        <f>VLOOKUP($A43,'NG-Jun-Bill'!$A$15:$X$96,24)</f>
        <v>0</v>
      </c>
      <c r="H43" s="45">
        <f>VLOOKUP($A43,'NG-Jul-Bill'!$A$15:$X$96,24)</f>
        <v>0</v>
      </c>
      <c r="I43" s="45">
        <f>VLOOKUP($A43,'NG-Aug-Bill'!$A$15:$X$96,24)</f>
        <v>0</v>
      </c>
      <c r="J43" s="45">
        <f>VLOOKUP($A43,'NG-Sept-Bill'!$A$15:$X$96,24)</f>
        <v>0</v>
      </c>
      <c r="K43" s="45">
        <f>VLOOKUP($A43,'NG-Oct-Bill'!$A$15:$X$96,24)</f>
        <v>0</v>
      </c>
      <c r="L43" s="45">
        <f>VLOOKUP($A43,'NG-Nov-Bill'!$A$15:$X$96,24)</f>
        <v>0</v>
      </c>
      <c r="M43" s="45">
        <f>VLOOKUP($A43,'NG-Dec-Bill'!$A$15:$X$96,24)</f>
        <v>0</v>
      </c>
      <c r="O43" s="45">
        <f t="shared" si="0"/>
        <v>0</v>
      </c>
    </row>
    <row r="44" spans="1:15">
      <c r="A44" s="44">
        <v>2217686007</v>
      </c>
      <c r="B44" s="45">
        <f>VLOOKUP($A44,'NG-Jan-Bill'!$A$15:$X$96,24)</f>
        <v>0</v>
      </c>
      <c r="C44" s="45">
        <f>VLOOKUP($A44,'NG-Feb-Bill'!$A$15:$X$96,24)</f>
        <v>0</v>
      </c>
      <c r="D44" s="45">
        <f>VLOOKUP($A44,'NG_Mar-Bill'!$A$15:$X$96,24)</f>
        <v>0</v>
      </c>
      <c r="E44" s="45">
        <f>VLOOKUP($A44,'NG-Apr-Bill'!$A$15:$X$96,24)</f>
        <v>0</v>
      </c>
      <c r="F44" s="45">
        <f>VLOOKUP($A44,'NG-May-Bill'!$A$15:$X$96,24)</f>
        <v>0</v>
      </c>
      <c r="G44" s="45">
        <f>VLOOKUP($A44,'NG-Jun-Bill'!$A$15:$X$96,24)</f>
        <v>0</v>
      </c>
      <c r="H44" s="45">
        <f>VLOOKUP($A44,'NG-Jul-Bill'!$A$15:$X$96,24)</f>
        <v>0</v>
      </c>
      <c r="I44" s="45">
        <f>VLOOKUP($A44,'NG-Aug-Bill'!$A$15:$X$96,24)</f>
        <v>0</v>
      </c>
      <c r="J44" s="45">
        <f>VLOOKUP($A44,'NG-Sept-Bill'!$A$15:$X$96,24)</f>
        <v>0</v>
      </c>
      <c r="K44" s="45">
        <f>VLOOKUP($A44,'NG-Oct-Bill'!$A$15:$X$96,24)</f>
        <v>0</v>
      </c>
      <c r="L44" s="45">
        <f>VLOOKUP($A44,'NG-Nov-Bill'!$A$15:$X$96,24)</f>
        <v>0</v>
      </c>
      <c r="M44" s="45">
        <f>VLOOKUP($A44,'NG-Dec-Bill'!$A$15:$X$96,24)</f>
        <v>0</v>
      </c>
      <c r="O44" s="45">
        <f t="shared" si="0"/>
        <v>0</v>
      </c>
    </row>
    <row r="45" spans="1:15">
      <c r="A45" s="44">
        <v>2480127108</v>
      </c>
      <c r="B45" s="45">
        <f>VLOOKUP($A45,'NG-Jan-Bill'!$A$15:$X$96,24)</f>
        <v>0</v>
      </c>
      <c r="C45" s="45">
        <f>VLOOKUP($A45,'NG-Feb-Bill'!$A$15:$X$96,24)</f>
        <v>0</v>
      </c>
      <c r="D45" s="45">
        <f>VLOOKUP($A45,'NG_Mar-Bill'!$A$15:$X$96,24)</f>
        <v>0</v>
      </c>
      <c r="E45" s="45">
        <f>VLOOKUP($A45,'NG-Apr-Bill'!$A$15:$X$96,24)</f>
        <v>0</v>
      </c>
      <c r="F45" s="45">
        <f>VLOOKUP($A45,'NG-May-Bill'!$A$15:$X$96,24)</f>
        <v>0</v>
      </c>
      <c r="G45" s="45">
        <f>VLOOKUP($A45,'NG-Jun-Bill'!$A$15:$X$96,24)</f>
        <v>0</v>
      </c>
      <c r="H45" s="45">
        <f>VLOOKUP($A45,'NG-Jul-Bill'!$A$15:$X$96,24)</f>
        <v>0</v>
      </c>
      <c r="I45" s="45">
        <f>VLOOKUP($A45,'NG-Aug-Bill'!$A$15:$X$96,24)</f>
        <v>0</v>
      </c>
      <c r="J45" s="45">
        <f>VLOOKUP($A45,'NG-Sept-Bill'!$A$15:$X$96,24)</f>
        <v>0</v>
      </c>
      <c r="K45" s="45">
        <f>VLOOKUP($A45,'NG-Oct-Bill'!$A$15:$X$96,24)</f>
        <v>0</v>
      </c>
      <c r="L45" s="45">
        <f>VLOOKUP($A45,'NG-Nov-Bill'!$A$15:$X$96,24)</f>
        <v>0</v>
      </c>
      <c r="M45" s="45">
        <f>VLOOKUP($A45,'NG-Dec-Bill'!$A$15:$X$96,24)</f>
        <v>0</v>
      </c>
      <c r="O45" s="45">
        <f t="shared" si="0"/>
        <v>0</v>
      </c>
    </row>
    <row r="46" spans="1:15">
      <c r="A46" s="44">
        <v>2533809113</v>
      </c>
      <c r="B46" s="45">
        <f>VLOOKUP($A46,'NG-Jan-Bill'!$A$15:$X$96,24)</f>
        <v>30.17</v>
      </c>
      <c r="C46" s="45">
        <f>VLOOKUP($A46,'NG-Feb-Bill'!$A$15:$X$96,24)</f>
        <v>24.88</v>
      </c>
      <c r="D46" s="45">
        <f>VLOOKUP($A46,'NG_Mar-Bill'!$A$15:$X$96,24)</f>
        <v>26.53</v>
      </c>
      <c r="E46" s="45">
        <f>VLOOKUP($A46,'NG-Apr-Bill'!$A$15:$X$96,24)</f>
        <v>25.09</v>
      </c>
      <c r="F46" s="45">
        <f>VLOOKUP($A46,'NG-May-Bill'!$A$15:$X$96,24)</f>
        <v>33.799999999999997</v>
      </c>
      <c r="G46" s="45">
        <f>VLOOKUP($A46,'NG-Jun-Bill'!$A$15:$X$96,24)</f>
        <v>25.1</v>
      </c>
      <c r="H46" s="45">
        <f>VLOOKUP($A46,'NG-Jul-Bill'!$A$15:$X$96,24)</f>
        <v>24.17</v>
      </c>
      <c r="I46" s="45">
        <f>VLOOKUP($A46,'NG-Aug-Bill'!$A$15:$X$96,24)</f>
        <v>26.96</v>
      </c>
      <c r="J46" s="45">
        <f>VLOOKUP($A46,'NG-Sept-Bill'!$A$15:$X$96,24)</f>
        <v>25.09</v>
      </c>
      <c r="K46" s="45">
        <f>VLOOKUP($A46,'NG-Oct-Bill'!$A$15:$X$96,24)</f>
        <v>25.12</v>
      </c>
      <c r="L46" s="45">
        <f>VLOOKUP($A46,'NG-Nov-Bill'!$A$15:$X$96,24)</f>
        <v>25.19</v>
      </c>
      <c r="M46" s="45">
        <f>VLOOKUP($A46,'NG-Dec-Bill'!$A$15:$X$96,24)</f>
        <v>25.21</v>
      </c>
      <c r="O46" s="45">
        <f t="shared" si="0"/>
        <v>317.31</v>
      </c>
    </row>
    <row r="47" spans="1:15">
      <c r="A47" s="44">
        <v>2693810107</v>
      </c>
      <c r="B47" s="45">
        <f>VLOOKUP($A47,'NG-Jan-Bill'!$A$15:$X$96,24)</f>
        <v>0</v>
      </c>
      <c r="C47" s="45">
        <f>VLOOKUP($A47,'NG-Feb-Bill'!$A$15:$X$96,24)</f>
        <v>0</v>
      </c>
      <c r="D47" s="45">
        <f>VLOOKUP($A47,'NG_Mar-Bill'!$A$15:$X$96,24)</f>
        <v>0</v>
      </c>
      <c r="E47" s="45">
        <f>VLOOKUP($A47,'NG-Apr-Bill'!$A$15:$X$96,24)</f>
        <v>0</v>
      </c>
      <c r="F47" s="45">
        <f>VLOOKUP($A47,'NG-May-Bill'!$A$15:$X$96,24)</f>
        <v>0</v>
      </c>
      <c r="G47" s="45">
        <f>VLOOKUP($A47,'NG-Jun-Bill'!$A$15:$X$96,24)</f>
        <v>0</v>
      </c>
      <c r="H47" s="45">
        <f>VLOOKUP($A47,'NG-Jul-Bill'!$A$15:$X$96,24)</f>
        <v>0</v>
      </c>
      <c r="I47" s="45">
        <f>VLOOKUP($A47,'NG-Aug-Bill'!$A$15:$X$96,24)</f>
        <v>0</v>
      </c>
      <c r="J47" s="45">
        <f>VLOOKUP($A47,'NG-Sept-Bill'!$A$15:$X$96,24)</f>
        <v>0</v>
      </c>
      <c r="K47" s="45">
        <f>VLOOKUP($A47,'NG-Oct-Bill'!$A$15:$X$96,24)</f>
        <v>0</v>
      </c>
      <c r="L47" s="45">
        <f>VLOOKUP($A47,'NG-Nov-Bill'!$A$15:$X$96,24)</f>
        <v>0</v>
      </c>
      <c r="M47" s="45">
        <f>VLOOKUP($A47,'NG-Dec-Bill'!$A$15:$X$96,24)</f>
        <v>0</v>
      </c>
      <c r="O47" s="45">
        <f t="shared" si="0"/>
        <v>0</v>
      </c>
    </row>
    <row r="48" spans="1:15">
      <c r="A48" s="44">
        <v>2703112003</v>
      </c>
      <c r="B48" s="45">
        <f>VLOOKUP($A48,'NG-Jan-Bill'!$A$15:$X$96,24)</f>
        <v>0</v>
      </c>
      <c r="C48" s="45">
        <f>VLOOKUP($A48,'NG-Feb-Bill'!$A$15:$X$96,24)</f>
        <v>0</v>
      </c>
      <c r="D48" s="45">
        <f>VLOOKUP($A48,'NG_Mar-Bill'!$A$15:$X$96,24)</f>
        <v>0</v>
      </c>
      <c r="E48" s="45">
        <f>VLOOKUP($A48,'NG-Apr-Bill'!$A$15:$X$96,24)</f>
        <v>0</v>
      </c>
      <c r="F48" s="45">
        <f>VLOOKUP($A48,'NG-May-Bill'!$A$15:$X$96,24)</f>
        <v>0</v>
      </c>
      <c r="G48" s="45">
        <f>VLOOKUP($A48,'NG-Jun-Bill'!$A$15:$X$96,24)</f>
        <v>0</v>
      </c>
      <c r="H48" s="45">
        <f>VLOOKUP($A48,'NG-Jul-Bill'!$A$15:$X$96,24)</f>
        <v>0</v>
      </c>
      <c r="I48" s="45">
        <f>VLOOKUP($A48,'NG-Aug-Bill'!$A$15:$X$96,24)</f>
        <v>0</v>
      </c>
      <c r="J48" s="45">
        <f>VLOOKUP($A48,'NG-Sept-Bill'!$A$15:$X$96,24)</f>
        <v>0</v>
      </c>
      <c r="K48" s="45">
        <f>VLOOKUP($A48,'NG-Oct-Bill'!$A$15:$X$96,24)</f>
        <v>0</v>
      </c>
      <c r="L48" s="45">
        <f>VLOOKUP($A48,'NG-Nov-Bill'!$A$15:$X$96,24)</f>
        <v>0</v>
      </c>
      <c r="M48" s="45">
        <f>VLOOKUP($A48,'NG-Dec-Bill'!$A$15:$X$96,24)</f>
        <v>0</v>
      </c>
      <c r="O48" s="45">
        <f t="shared" si="0"/>
        <v>0</v>
      </c>
    </row>
    <row r="49" spans="1:15">
      <c r="A49" s="44">
        <v>2773821106</v>
      </c>
      <c r="B49" s="45">
        <f>VLOOKUP($A49,'NG-Jan-Bill'!$A$15:$X$96,24)</f>
        <v>0</v>
      </c>
      <c r="C49" s="45">
        <f>VLOOKUP($A49,'NG-Feb-Bill'!$A$15:$X$96,24)</f>
        <v>0</v>
      </c>
      <c r="D49" s="45">
        <f>VLOOKUP($A49,'NG_Mar-Bill'!$A$15:$X$96,24)</f>
        <v>0</v>
      </c>
      <c r="E49" s="45">
        <f>VLOOKUP($A49,'NG-Apr-Bill'!$A$15:$X$96,24)</f>
        <v>0</v>
      </c>
      <c r="F49" s="45">
        <f>VLOOKUP($A49,'NG-May-Bill'!$A$15:$X$96,24)</f>
        <v>0</v>
      </c>
      <c r="G49" s="45">
        <f>VLOOKUP($A49,'NG-Jun-Bill'!$A$15:$X$96,24)</f>
        <v>0</v>
      </c>
      <c r="H49" s="45">
        <f>VLOOKUP($A49,'NG-Jul-Bill'!$A$15:$X$96,24)</f>
        <v>0</v>
      </c>
      <c r="I49" s="45">
        <f>VLOOKUP($A49,'NG-Aug-Bill'!$A$15:$X$96,24)</f>
        <v>0</v>
      </c>
      <c r="J49" s="45">
        <f>VLOOKUP($A49,'NG-Sept-Bill'!$A$15:$X$96,24)</f>
        <v>0</v>
      </c>
      <c r="K49" s="45">
        <f>VLOOKUP($A49,'NG-Oct-Bill'!$A$15:$X$96,24)</f>
        <v>0</v>
      </c>
      <c r="L49" s="45">
        <f>VLOOKUP($A49,'NG-Nov-Bill'!$A$15:$X$96,24)</f>
        <v>0</v>
      </c>
      <c r="M49" s="45">
        <f>VLOOKUP($A49,'NG-Dec-Bill'!$A$15:$X$96,24)</f>
        <v>0</v>
      </c>
      <c r="O49" s="45">
        <f t="shared" si="0"/>
        <v>0</v>
      </c>
    </row>
    <row r="50" spans="1:15">
      <c r="A50" s="44">
        <v>2856106004</v>
      </c>
      <c r="B50" s="45">
        <f>VLOOKUP($A50,'NG-Jan-Bill'!$A$15:$X$96,24)</f>
        <v>32.770000000000003</v>
      </c>
      <c r="C50" s="45">
        <f>VLOOKUP($A50,'NG-Feb-Bill'!$A$15:$X$96,24)</f>
        <v>33.200000000000003</v>
      </c>
      <c r="D50" s="45">
        <f>VLOOKUP($A50,'NG_Mar-Bill'!$A$15:$X$96,24)</f>
        <v>31.9</v>
      </c>
      <c r="E50" s="45">
        <f>VLOOKUP($A50,'NG-Apr-Bill'!$A$15:$X$96,24)</f>
        <v>29.73</v>
      </c>
      <c r="F50" s="45">
        <f>VLOOKUP($A50,'NG-May-Bill'!$A$15:$X$96,24)</f>
        <v>25.58</v>
      </c>
      <c r="G50" s="45">
        <f>VLOOKUP($A50,'NG-Jun-Bill'!$A$15:$X$96,24)</f>
        <v>24.81</v>
      </c>
      <c r="H50" s="45">
        <f>VLOOKUP($A50,'NG-Jul-Bill'!$A$15:$X$96,24)</f>
        <v>24.52</v>
      </c>
      <c r="I50" s="45">
        <f>VLOOKUP($A50,'NG-Aug-Bill'!$A$15:$X$96,24)</f>
        <v>24.2</v>
      </c>
      <c r="J50" s="45">
        <f>VLOOKUP($A50,'NG-Sept-Bill'!$A$15:$X$96,24)</f>
        <v>25.53</v>
      </c>
      <c r="K50" s="45">
        <f>VLOOKUP($A50,'NG-Oct-Bill'!$A$15:$X$96,24)</f>
        <v>24.66</v>
      </c>
      <c r="L50" s="45">
        <f>VLOOKUP($A50,'NG-Nov-Bill'!$A$15:$X$96,24)</f>
        <v>25.36</v>
      </c>
      <c r="M50" s="45">
        <f>VLOOKUP($A50,'NG-Dec-Bill'!$A$15:$X$96,24)</f>
        <v>30.11</v>
      </c>
      <c r="O50" s="45">
        <f t="shared" si="0"/>
        <v>332.37000000000006</v>
      </c>
    </row>
    <row r="51" spans="1:15">
      <c r="A51" s="44">
        <v>2860127100</v>
      </c>
      <c r="B51" s="45">
        <f>VLOOKUP($A51,'NG-Jan-Bill'!$A$15:$X$96,24)</f>
        <v>0</v>
      </c>
      <c r="C51" s="45">
        <f>VLOOKUP($A51,'NG-Feb-Bill'!$A$15:$X$96,24)</f>
        <v>0</v>
      </c>
      <c r="D51" s="45">
        <f>VLOOKUP($A51,'NG_Mar-Bill'!$A$15:$X$96,24)</f>
        <v>0</v>
      </c>
      <c r="E51" s="45">
        <f>VLOOKUP($A51,'NG-Apr-Bill'!$A$15:$X$96,24)</f>
        <v>0</v>
      </c>
      <c r="F51" s="45">
        <f>VLOOKUP($A51,'NG-May-Bill'!$A$15:$X$96,24)</f>
        <v>0</v>
      </c>
      <c r="G51" s="45">
        <f>VLOOKUP($A51,'NG-Jun-Bill'!$A$15:$X$96,24)</f>
        <v>0</v>
      </c>
      <c r="H51" s="45">
        <f>VLOOKUP($A51,'NG-Jul-Bill'!$A$15:$X$96,24)</f>
        <v>0</v>
      </c>
      <c r="I51" s="45">
        <f>VLOOKUP($A51,'NG-Aug-Bill'!$A$15:$X$96,24)</f>
        <v>0</v>
      </c>
      <c r="J51" s="45">
        <f>VLOOKUP($A51,'NG-Sept-Bill'!$A$15:$X$96,24)</f>
        <v>0</v>
      </c>
      <c r="K51" s="45">
        <f>VLOOKUP($A51,'NG-Oct-Bill'!$A$15:$X$96,24)</f>
        <v>0</v>
      </c>
      <c r="L51" s="45">
        <f>VLOOKUP($A51,'NG-Nov-Bill'!$A$15:$X$96,24)</f>
        <v>0</v>
      </c>
      <c r="M51" s="45">
        <f>VLOOKUP($A51,'NG-Dec-Bill'!$A$15:$X$96,24)</f>
        <v>0</v>
      </c>
      <c r="O51" s="45">
        <f t="shared" si="0"/>
        <v>0</v>
      </c>
    </row>
    <row r="52" spans="1:15">
      <c r="A52" s="44">
        <v>3040127109</v>
      </c>
      <c r="B52" s="45">
        <f>VLOOKUP($A52,'NG-Jan-Bill'!$A$15:$X$96,24)</f>
        <v>0</v>
      </c>
      <c r="C52" s="45">
        <f>VLOOKUP($A52,'NG-Feb-Bill'!$A$15:$X$96,24)</f>
        <v>0</v>
      </c>
      <c r="D52" s="45">
        <f>VLOOKUP($A52,'NG_Mar-Bill'!$A$15:$X$96,24)</f>
        <v>0</v>
      </c>
      <c r="E52" s="45">
        <f>VLOOKUP($A52,'NG-Apr-Bill'!$A$15:$X$96,24)</f>
        <v>0</v>
      </c>
      <c r="F52" s="45">
        <f>VLOOKUP($A52,'NG-May-Bill'!$A$15:$X$96,24)</f>
        <v>0</v>
      </c>
      <c r="G52" s="45">
        <f>VLOOKUP($A52,'NG-Jun-Bill'!$A$15:$X$96,24)</f>
        <v>0</v>
      </c>
      <c r="H52" s="45">
        <f>VLOOKUP($A52,'NG-Jul-Bill'!$A$15:$X$96,24)</f>
        <v>0</v>
      </c>
      <c r="I52" s="45">
        <f>VLOOKUP($A52,'NG-Aug-Bill'!$A$15:$X$96,24)</f>
        <v>0</v>
      </c>
      <c r="J52" s="45">
        <f>VLOOKUP($A52,'NG-Sept-Bill'!$A$15:$X$96,24)</f>
        <v>0</v>
      </c>
      <c r="K52" s="45">
        <f>VLOOKUP($A52,'NG-Oct-Bill'!$A$15:$X$96,24)</f>
        <v>0</v>
      </c>
      <c r="L52" s="45">
        <f>VLOOKUP($A52,'NG-Nov-Bill'!$A$15:$X$96,24)</f>
        <v>0</v>
      </c>
      <c r="M52" s="45">
        <f>VLOOKUP($A52,'NG-Dec-Bill'!$A$15:$X$96,24)</f>
        <v>0</v>
      </c>
      <c r="O52" s="45">
        <f t="shared" si="0"/>
        <v>0</v>
      </c>
    </row>
    <row r="53" spans="1:15">
      <c r="A53" s="44">
        <v>3128810107</v>
      </c>
      <c r="B53" s="45">
        <f>VLOOKUP($A53,'NG-Jan-Bill'!$A$15:$X$96,24)</f>
        <v>0</v>
      </c>
      <c r="C53" s="45">
        <f>VLOOKUP($A53,'NG-Feb-Bill'!$A$15:$X$96,24)</f>
        <v>0</v>
      </c>
      <c r="D53" s="45">
        <f>VLOOKUP($A53,'NG_Mar-Bill'!$A$15:$X$96,24)</f>
        <v>0</v>
      </c>
      <c r="E53" s="45">
        <f>VLOOKUP($A53,'NG-Apr-Bill'!$A$15:$X$96,24)</f>
        <v>0</v>
      </c>
      <c r="F53" s="45">
        <f>VLOOKUP($A53,'NG-May-Bill'!$A$15:$X$96,24)</f>
        <v>0</v>
      </c>
      <c r="G53" s="45">
        <f>VLOOKUP($A53,'NG-Jun-Bill'!$A$15:$X$96,24)</f>
        <v>0</v>
      </c>
      <c r="H53" s="45">
        <f>VLOOKUP($A53,'NG-Jul-Bill'!$A$15:$X$96,24)</f>
        <v>0</v>
      </c>
      <c r="I53" s="45">
        <f>VLOOKUP($A53,'NG-Aug-Bill'!$A$15:$X$96,24)</f>
        <v>0</v>
      </c>
      <c r="J53" s="45">
        <f>VLOOKUP($A53,'NG-Sept-Bill'!$A$15:$X$96,24)</f>
        <v>0</v>
      </c>
      <c r="K53" s="45">
        <f>VLOOKUP($A53,'NG-Oct-Bill'!$A$15:$X$96,24)</f>
        <v>0</v>
      </c>
      <c r="L53" s="45">
        <f>VLOOKUP($A53,'NG-Nov-Bill'!$A$15:$X$96,24)</f>
        <v>0</v>
      </c>
      <c r="M53" s="45">
        <f>VLOOKUP($A53,'NG-Dec-Bill'!$A$15:$X$96,24)</f>
        <v>0</v>
      </c>
      <c r="O53" s="45">
        <f t="shared" si="0"/>
        <v>0</v>
      </c>
    </row>
    <row r="54" spans="1:15">
      <c r="A54" s="44">
        <v>3195056004</v>
      </c>
      <c r="B54" s="45">
        <f>VLOOKUP($A54,'NG-Jan-Bill'!$A$15:$X$96,24)</f>
        <v>0</v>
      </c>
      <c r="C54" s="45">
        <f>VLOOKUP($A54,'NG-Feb-Bill'!$A$15:$X$96,24)</f>
        <v>0</v>
      </c>
      <c r="D54" s="45">
        <f>VLOOKUP($A54,'NG_Mar-Bill'!$A$15:$X$96,24)</f>
        <v>0</v>
      </c>
      <c r="E54" s="45">
        <f>VLOOKUP($A54,'NG-Apr-Bill'!$A$15:$X$96,24)</f>
        <v>0</v>
      </c>
      <c r="F54" s="45">
        <f>VLOOKUP($A54,'NG-May-Bill'!$A$15:$X$96,24)</f>
        <v>0</v>
      </c>
      <c r="G54" s="45">
        <f>VLOOKUP($A54,'NG-Jun-Bill'!$A$15:$X$96,24)</f>
        <v>0</v>
      </c>
      <c r="H54" s="45">
        <f>VLOOKUP($A54,'NG-Jul-Bill'!$A$15:$X$96,24)</f>
        <v>0</v>
      </c>
      <c r="I54" s="45">
        <f>VLOOKUP($A54,'NG-Aug-Bill'!$A$15:$X$96,24)</f>
        <v>0</v>
      </c>
      <c r="J54" s="45">
        <f>VLOOKUP($A54,'NG-Sept-Bill'!$A$15:$X$96,24)</f>
        <v>0</v>
      </c>
      <c r="K54" s="45">
        <f>VLOOKUP($A54,'NG-Oct-Bill'!$A$15:$X$96,24)</f>
        <v>0</v>
      </c>
      <c r="L54" s="45">
        <f>VLOOKUP($A54,'NG-Nov-Bill'!$A$15:$X$96,24)</f>
        <v>0</v>
      </c>
      <c r="M54" s="45">
        <f>VLOOKUP($A54,'NG-Dec-Bill'!$A$15:$X$96,24)</f>
        <v>0</v>
      </c>
      <c r="O54" s="45">
        <f t="shared" si="0"/>
        <v>0</v>
      </c>
    </row>
    <row r="55" spans="1:15">
      <c r="A55" s="44">
        <v>3273812135</v>
      </c>
      <c r="B55" s="45">
        <f>VLOOKUP($A55,'NG-Jan-Bill'!$A$15:$X$96,24)</f>
        <v>24.78</v>
      </c>
      <c r="C55" s="45">
        <f>VLOOKUP($A55,'NG-Feb-Bill'!$A$15:$X$96,24)</f>
        <v>24.88</v>
      </c>
      <c r="D55" s="45">
        <f>VLOOKUP($A55,'NG_Mar-Bill'!$A$15:$X$96,24)</f>
        <v>25.52</v>
      </c>
      <c r="E55" s="45">
        <f>VLOOKUP($A55,'NG-Apr-Bill'!$A$15:$X$96,24)</f>
        <v>25.09</v>
      </c>
      <c r="F55" s="45">
        <f>VLOOKUP($A55,'NG-May-Bill'!$A$15:$X$96,24)</f>
        <v>25.88</v>
      </c>
      <c r="G55" s="45">
        <f>VLOOKUP($A55,'NG-Jun-Bill'!$A$15:$X$96,24)</f>
        <v>32.32</v>
      </c>
      <c r="H55" s="45">
        <f>VLOOKUP($A55,'NG-Jul-Bill'!$A$15:$X$96,24)</f>
        <v>25.4</v>
      </c>
      <c r="I55" s="45">
        <f>VLOOKUP($A55,'NG-Aug-Bill'!$A$15:$X$96,24)</f>
        <v>25.08</v>
      </c>
      <c r="J55" s="45">
        <f>VLOOKUP($A55,'NG-Sept-Bill'!$A$15:$X$96,24)</f>
        <v>25.55</v>
      </c>
      <c r="K55" s="45">
        <f>VLOOKUP($A55,'NG-Oct-Bill'!$A$15:$X$96,24)</f>
        <v>25.12</v>
      </c>
      <c r="L55" s="45">
        <f>VLOOKUP($A55,'NG-Nov-Bill'!$A$15:$X$96,24)</f>
        <v>25.19</v>
      </c>
      <c r="M55" s="45">
        <f>VLOOKUP($A55,'NG-Dec-Bill'!$A$15:$X$96,24)</f>
        <v>27.19</v>
      </c>
      <c r="O55" s="45">
        <f t="shared" si="0"/>
        <v>312</v>
      </c>
    </row>
    <row r="56" spans="1:15">
      <c r="A56" s="44">
        <v>3293820115</v>
      </c>
      <c r="B56" s="45">
        <f>VLOOKUP($A56,'NG-Jan-Bill'!$A$15:$X$96,24)</f>
        <v>50.64</v>
      </c>
      <c r="C56" s="45">
        <f>VLOOKUP($A56,'NG-Feb-Bill'!$A$15:$X$96,24)</f>
        <v>44.01</v>
      </c>
      <c r="D56" s="45">
        <f>VLOOKUP($A56,'NG_Mar-Bill'!$A$15:$X$96,24)</f>
        <v>70.489999999999995</v>
      </c>
      <c r="E56" s="45">
        <f>VLOOKUP($A56,'NG-Apr-Bill'!$A$15:$X$96,24)</f>
        <v>56.26</v>
      </c>
      <c r="F56" s="45">
        <f>VLOOKUP($A56,'NG-May-Bill'!$A$15:$X$96,24)</f>
        <v>23.77</v>
      </c>
      <c r="G56" s="45">
        <f>VLOOKUP($A56,'NG-Jun-Bill'!$A$15:$X$96,24)</f>
        <v>37.71</v>
      </c>
      <c r="H56" s="45">
        <f>VLOOKUP($A56,'NG-Jul-Bill'!$A$15:$X$96,24)</f>
        <v>23.84</v>
      </c>
      <c r="I56" s="45">
        <f>VLOOKUP($A56,'NG-Aug-Bill'!$A$15:$X$96,24)</f>
        <v>23.77</v>
      </c>
      <c r="J56" s="45">
        <f>VLOOKUP($A56,'NG-Sept-Bill'!$A$15:$X$96,24)</f>
        <v>23.77</v>
      </c>
      <c r="K56" s="45">
        <f>VLOOKUP($A56,'NG-Oct-Bill'!$A$15:$X$96,24)</f>
        <v>23.88</v>
      </c>
      <c r="L56" s="45">
        <f>VLOOKUP($A56,'NG-Nov-Bill'!$A$15:$X$96,24)</f>
        <v>24.93</v>
      </c>
      <c r="M56" s="45">
        <f>VLOOKUP($A56,'NG-Dec-Bill'!$A$15:$X$96,24)</f>
        <v>47.62</v>
      </c>
      <c r="O56" s="45">
        <f t="shared" si="0"/>
        <v>450.68999999999994</v>
      </c>
    </row>
    <row r="57" spans="1:15">
      <c r="A57" s="44">
        <v>3448808118</v>
      </c>
      <c r="B57" s="45">
        <f>VLOOKUP($A57,'NG-Jan-Bill'!$A$15:$X$96,24)</f>
        <v>0</v>
      </c>
      <c r="C57" s="45">
        <f>VLOOKUP($A57,'NG-Feb-Bill'!$A$15:$X$96,24)</f>
        <v>0</v>
      </c>
      <c r="D57" s="45">
        <f>VLOOKUP($A57,'NG_Mar-Bill'!$A$15:$X$96,24)</f>
        <v>0</v>
      </c>
      <c r="E57" s="45">
        <f>VLOOKUP($A57,'NG-Apr-Bill'!$A$15:$X$96,24)</f>
        <v>0</v>
      </c>
      <c r="F57" s="45">
        <f>VLOOKUP($A57,'NG-May-Bill'!$A$15:$X$96,24)</f>
        <v>0</v>
      </c>
      <c r="G57" s="45">
        <f>VLOOKUP($A57,'NG-Jun-Bill'!$A$15:$X$96,24)</f>
        <v>0</v>
      </c>
      <c r="H57" s="45">
        <f>VLOOKUP($A57,'NG-Jul-Bill'!$A$15:$X$96,24)</f>
        <v>0</v>
      </c>
      <c r="I57" s="45">
        <f>VLOOKUP($A57,'NG-Aug-Bill'!$A$15:$X$96,24)</f>
        <v>0</v>
      </c>
      <c r="J57" s="45">
        <f>VLOOKUP($A57,'NG-Sept-Bill'!$A$15:$X$96,24)</f>
        <v>0</v>
      </c>
      <c r="K57" s="45">
        <f>VLOOKUP($A57,'NG-Oct-Bill'!$A$15:$X$96,24)</f>
        <v>0</v>
      </c>
      <c r="L57" s="45">
        <f>VLOOKUP($A57,'NG-Nov-Bill'!$A$15:$X$96,24)</f>
        <v>0</v>
      </c>
      <c r="M57" s="45">
        <f>VLOOKUP($A57,'NG-Dec-Bill'!$A$15:$X$96,24)</f>
        <v>0</v>
      </c>
      <c r="O57" s="45">
        <f t="shared" si="0"/>
        <v>0</v>
      </c>
    </row>
    <row r="58" spans="1:15">
      <c r="A58" s="44">
        <v>3632395006</v>
      </c>
      <c r="B58" s="45">
        <f>VLOOKUP($A58,'NG-Jan-Bill'!$A$15:$X$96,24)</f>
        <v>0</v>
      </c>
      <c r="C58" s="45">
        <f>VLOOKUP($A58,'NG-Feb-Bill'!$A$15:$X$96,24)</f>
        <v>0</v>
      </c>
      <c r="D58" s="45">
        <f>VLOOKUP($A58,'NG_Mar-Bill'!$A$15:$X$96,24)</f>
        <v>0</v>
      </c>
      <c r="E58" s="45">
        <f>VLOOKUP($A58,'NG-Apr-Bill'!$A$15:$X$96,24)</f>
        <v>0</v>
      </c>
      <c r="F58" s="45">
        <f>VLOOKUP($A58,'NG-May-Bill'!$A$15:$X$96,24)</f>
        <v>0</v>
      </c>
      <c r="G58" s="45">
        <f>VLOOKUP($A58,'NG-Jun-Bill'!$A$15:$X$96,24)</f>
        <v>0</v>
      </c>
      <c r="H58" s="45">
        <f>VLOOKUP($A58,'NG-Jul-Bill'!$A$15:$X$96,24)</f>
        <v>0</v>
      </c>
      <c r="I58" s="45">
        <f>VLOOKUP($A58,'NG-Aug-Bill'!$A$15:$X$96,24)</f>
        <v>0</v>
      </c>
      <c r="J58" s="45">
        <f>VLOOKUP($A58,'NG-Sept-Bill'!$A$15:$X$96,24)</f>
        <v>0</v>
      </c>
      <c r="K58" s="45">
        <f>VLOOKUP($A58,'NG-Oct-Bill'!$A$15:$X$96,24)</f>
        <v>0</v>
      </c>
      <c r="L58" s="45">
        <f>VLOOKUP($A58,'NG-Nov-Bill'!$A$15:$X$96,24)</f>
        <v>0</v>
      </c>
      <c r="M58" s="45">
        <f>VLOOKUP($A58,'NG-Dec-Bill'!$A$15:$X$96,24)</f>
        <v>0</v>
      </c>
      <c r="O58" s="45">
        <f t="shared" si="0"/>
        <v>0</v>
      </c>
    </row>
    <row r="59" spans="1:15">
      <c r="A59" s="44">
        <v>3753663109</v>
      </c>
      <c r="B59" s="45">
        <f>VLOOKUP($A59,'NG-Jan-Bill'!$A$15:$X$96,24)</f>
        <v>0</v>
      </c>
      <c r="C59" s="45">
        <f>VLOOKUP($A59,'NG-Feb-Bill'!$A$15:$X$96,24)</f>
        <v>0</v>
      </c>
      <c r="D59" s="45">
        <f>VLOOKUP($A59,'NG_Mar-Bill'!$A$15:$X$96,24)</f>
        <v>0</v>
      </c>
      <c r="E59" s="45">
        <f>VLOOKUP($A59,'NG-Apr-Bill'!$A$15:$X$96,24)</f>
        <v>0</v>
      </c>
      <c r="F59" s="45">
        <f>VLOOKUP($A59,'NG-May-Bill'!$A$15:$X$96,24)</f>
        <v>0</v>
      </c>
      <c r="G59" s="45">
        <f>VLOOKUP($A59,'NG-Jun-Bill'!$A$15:$X$96,24)</f>
        <v>0</v>
      </c>
      <c r="H59" s="45">
        <f>VLOOKUP($A59,'NG-Jul-Bill'!$A$15:$X$96,24)</f>
        <v>0</v>
      </c>
      <c r="I59" s="45">
        <f>VLOOKUP($A59,'NG-Aug-Bill'!$A$15:$X$96,24)</f>
        <v>0</v>
      </c>
      <c r="J59" s="45">
        <f>VLOOKUP($A59,'NG-Sept-Bill'!$A$15:$X$96,24)</f>
        <v>0</v>
      </c>
      <c r="K59" s="45">
        <f>VLOOKUP($A59,'NG-Oct-Bill'!$A$15:$X$96,24)</f>
        <v>0</v>
      </c>
      <c r="L59" s="45">
        <f>VLOOKUP($A59,'NG-Nov-Bill'!$A$15:$X$96,24)</f>
        <v>0</v>
      </c>
      <c r="M59" s="45">
        <f>VLOOKUP($A59,'NG-Dec-Bill'!$A$15:$X$96,24)</f>
        <v>0</v>
      </c>
      <c r="O59" s="45">
        <f t="shared" si="0"/>
        <v>0</v>
      </c>
    </row>
    <row r="60" spans="1:15">
      <c r="A60" s="44">
        <v>3798043001</v>
      </c>
      <c r="B60" s="45">
        <f>VLOOKUP($A60,'NG-Jan-Bill'!$A$15:$X$96,24)</f>
        <v>0</v>
      </c>
      <c r="C60" s="45">
        <f>VLOOKUP($A60,'NG-Feb-Bill'!$A$15:$X$96,24)</f>
        <v>0</v>
      </c>
      <c r="D60" s="45">
        <f>VLOOKUP($A60,'NG_Mar-Bill'!$A$15:$X$96,24)</f>
        <v>0</v>
      </c>
      <c r="E60" s="45">
        <f>VLOOKUP($A60,'NG-Apr-Bill'!$A$15:$X$96,24)</f>
        <v>0</v>
      </c>
      <c r="F60" s="45">
        <f>VLOOKUP($A60,'NG-May-Bill'!$A$15:$X$96,24)</f>
        <v>0</v>
      </c>
      <c r="G60" s="45">
        <f>VLOOKUP($A60,'NG-Jun-Bill'!$A$15:$X$96,24)</f>
        <v>0</v>
      </c>
      <c r="H60" s="45">
        <f>VLOOKUP($A60,'NG-Jul-Bill'!$A$15:$X$96,24)</f>
        <v>0</v>
      </c>
      <c r="I60" s="45">
        <f>VLOOKUP($A60,'NG-Aug-Bill'!$A$15:$X$96,24)</f>
        <v>0</v>
      </c>
      <c r="J60" s="45">
        <f>VLOOKUP($A60,'NG-Sept-Bill'!$A$15:$X$96,24)</f>
        <v>0</v>
      </c>
      <c r="K60" s="45">
        <f>VLOOKUP($A60,'NG-Oct-Bill'!$A$15:$X$96,24)</f>
        <v>0</v>
      </c>
      <c r="L60" s="45">
        <f>VLOOKUP($A60,'NG-Nov-Bill'!$A$15:$X$96,24)</f>
        <v>0</v>
      </c>
      <c r="M60" s="45">
        <f>VLOOKUP($A60,'NG-Dec-Bill'!$A$15:$X$96,24)</f>
        <v>0</v>
      </c>
      <c r="O60" s="45">
        <f t="shared" si="0"/>
        <v>0</v>
      </c>
    </row>
    <row r="61" spans="1:15">
      <c r="A61" s="44">
        <v>3908811104</v>
      </c>
      <c r="B61" s="45">
        <f>VLOOKUP($A61,'NG-Jan-Bill'!$A$15:$X$96,24)</f>
        <v>0</v>
      </c>
      <c r="C61" s="45">
        <f>VLOOKUP($A61,'NG-Feb-Bill'!$A$15:$X$96,24)</f>
        <v>0</v>
      </c>
      <c r="D61" s="45">
        <f>VLOOKUP($A61,'NG_Mar-Bill'!$A$15:$X$96,24)</f>
        <v>0</v>
      </c>
      <c r="E61" s="45">
        <f>VLOOKUP($A61,'NG-Apr-Bill'!$A$15:$X$96,24)</f>
        <v>0</v>
      </c>
      <c r="F61" s="45">
        <f>VLOOKUP($A61,'NG-May-Bill'!$A$15:$X$96,24)</f>
        <v>0</v>
      </c>
      <c r="G61" s="45">
        <f>VLOOKUP($A61,'NG-Jun-Bill'!$A$15:$X$96,24)</f>
        <v>0</v>
      </c>
      <c r="H61" s="45">
        <f>VLOOKUP($A61,'NG-Jul-Bill'!$A$15:$X$96,24)</f>
        <v>0</v>
      </c>
      <c r="I61" s="45">
        <f>VLOOKUP($A61,'NG-Aug-Bill'!$A$15:$X$96,24)</f>
        <v>0</v>
      </c>
      <c r="J61" s="45">
        <f>VLOOKUP($A61,'NG-Sept-Bill'!$A$15:$X$96,24)</f>
        <v>0</v>
      </c>
      <c r="K61" s="45">
        <f>VLOOKUP($A61,'NG-Oct-Bill'!$A$15:$X$96,24)</f>
        <v>0</v>
      </c>
      <c r="L61" s="45">
        <f>VLOOKUP($A61,'NG-Nov-Bill'!$A$15:$X$96,24)</f>
        <v>0</v>
      </c>
      <c r="M61" s="45">
        <f>VLOOKUP($A61,'NG-Dec-Bill'!$A$15:$X$96,24)</f>
        <v>0</v>
      </c>
      <c r="O61" s="45">
        <f t="shared" si="0"/>
        <v>0</v>
      </c>
    </row>
    <row r="62" spans="1:15">
      <c r="A62" s="44">
        <v>4153807100</v>
      </c>
      <c r="B62" s="45">
        <f>VLOOKUP($A62,'NG-Jan-Bill'!$A$15:$X$96,24)</f>
        <v>757.39</v>
      </c>
      <c r="C62" s="45">
        <f>VLOOKUP($A62,'NG-Feb-Bill'!$A$15:$X$96,24)</f>
        <v>840.05</v>
      </c>
      <c r="D62" s="45">
        <f>VLOOKUP($A62,'NG_Mar-Bill'!$A$15:$X$96,24)</f>
        <v>572.26</v>
      </c>
      <c r="E62" s="45">
        <f>VLOOKUP($A62,'NG-Apr-Bill'!$A$15:$X$96,24)</f>
        <v>471.19</v>
      </c>
      <c r="F62" s="45">
        <f>VLOOKUP($A62,'NG-May-Bill'!$A$15:$X$96,24)</f>
        <v>115.11</v>
      </c>
      <c r="G62" s="45">
        <f>VLOOKUP($A62,'NG-Jun-Bill'!$A$15:$X$96,24)</f>
        <v>33.840000000000003</v>
      </c>
      <c r="H62" s="45">
        <f>VLOOKUP($A62,'NG-Jul-Bill'!$A$15:$X$96,24)</f>
        <v>24.56</v>
      </c>
      <c r="I62" s="45">
        <f>VLOOKUP($A62,'NG-Aug-Bill'!$A$15:$X$96,24)</f>
        <v>24.17</v>
      </c>
      <c r="J62" s="45">
        <f>VLOOKUP($A62,'NG-Sept-Bill'!$A$15:$X$96,24)</f>
        <v>24.17</v>
      </c>
      <c r="K62" s="45">
        <f>VLOOKUP($A62,'NG-Oct-Bill'!$A$15:$X$96,24)</f>
        <v>24.63</v>
      </c>
      <c r="L62" s="45">
        <f>VLOOKUP($A62,'NG-Nov-Bill'!$A$15:$X$96,24)</f>
        <v>185.42</v>
      </c>
      <c r="M62" s="45">
        <f>VLOOKUP($A62,'NG-Dec-Bill'!$A$15:$X$96,24)</f>
        <v>559.16</v>
      </c>
      <c r="O62" s="45">
        <f t="shared" si="0"/>
        <v>3631.9500000000003</v>
      </c>
    </row>
    <row r="63" spans="1:15">
      <c r="A63" s="44">
        <v>4153820112</v>
      </c>
      <c r="B63" s="45">
        <f>VLOOKUP($A63,'NG-Jan-Bill'!$A$15:$X$96,24)</f>
        <v>0</v>
      </c>
      <c r="C63" s="45">
        <f>VLOOKUP($A63,'NG-Feb-Bill'!$A$15:$X$96,24)</f>
        <v>0</v>
      </c>
      <c r="D63" s="45">
        <f>VLOOKUP($A63,'NG_Mar-Bill'!$A$15:$X$96,24)</f>
        <v>0</v>
      </c>
      <c r="E63" s="45">
        <f>VLOOKUP($A63,'NG-Apr-Bill'!$A$15:$X$96,24)</f>
        <v>0</v>
      </c>
      <c r="F63" s="45">
        <f>VLOOKUP($A63,'NG-May-Bill'!$A$15:$X$96,24)</f>
        <v>0</v>
      </c>
      <c r="G63" s="45">
        <f>VLOOKUP($A63,'NG-Jun-Bill'!$A$15:$X$96,24)</f>
        <v>0</v>
      </c>
      <c r="H63" s="45">
        <f>VLOOKUP($A63,'NG-Jul-Bill'!$A$15:$X$96,24)</f>
        <v>0</v>
      </c>
      <c r="I63" s="45">
        <f>VLOOKUP($A63,'NG-Aug-Bill'!$A$15:$X$96,24)</f>
        <v>0</v>
      </c>
      <c r="J63" s="45">
        <f>VLOOKUP($A63,'NG-Sept-Bill'!$A$15:$X$96,24)</f>
        <v>0</v>
      </c>
      <c r="K63" s="45">
        <f>VLOOKUP($A63,'NG-Oct-Bill'!$A$15:$X$96,24)</f>
        <v>0</v>
      </c>
      <c r="L63" s="45">
        <f>VLOOKUP($A63,'NG-Nov-Bill'!$A$15:$X$96,24)</f>
        <v>0</v>
      </c>
      <c r="M63" s="45">
        <f>VLOOKUP($A63,'NG-Dec-Bill'!$A$15:$X$96,24)</f>
        <v>0</v>
      </c>
      <c r="O63" s="45">
        <f t="shared" si="0"/>
        <v>0</v>
      </c>
    </row>
    <row r="64" spans="1:15">
      <c r="A64" s="44">
        <v>4308810115</v>
      </c>
      <c r="B64" s="45">
        <f>VLOOKUP($A64,'NG-Jan-Bill'!$A$15:$X$96,24)</f>
        <v>0</v>
      </c>
      <c r="C64" s="45">
        <f>VLOOKUP($A64,'NG-Feb-Bill'!$A$15:$X$96,24)</f>
        <v>0</v>
      </c>
      <c r="D64" s="45">
        <f>VLOOKUP($A64,'NG_Mar-Bill'!$A$15:$X$96,24)</f>
        <v>0</v>
      </c>
      <c r="E64" s="45">
        <f>VLOOKUP($A64,'NG-Apr-Bill'!$A$15:$X$96,24)</f>
        <v>0</v>
      </c>
      <c r="F64" s="45">
        <f>VLOOKUP($A64,'NG-May-Bill'!$A$15:$X$96,24)</f>
        <v>0</v>
      </c>
      <c r="G64" s="45">
        <f>VLOOKUP($A64,'NG-Jun-Bill'!$A$15:$X$96,24)</f>
        <v>0</v>
      </c>
      <c r="H64" s="45">
        <f>VLOOKUP($A64,'NG-Jul-Bill'!$A$15:$X$96,24)</f>
        <v>0</v>
      </c>
      <c r="I64" s="45">
        <f>VLOOKUP($A64,'NG-Aug-Bill'!$A$15:$X$96,24)</f>
        <v>0</v>
      </c>
      <c r="J64" s="45">
        <f>VLOOKUP($A64,'NG-Sept-Bill'!$A$15:$X$96,24)</f>
        <v>0</v>
      </c>
      <c r="K64" s="45">
        <f>VLOOKUP($A64,'NG-Oct-Bill'!$A$15:$X$96,24)</f>
        <v>0</v>
      </c>
      <c r="L64" s="45">
        <f>VLOOKUP($A64,'NG-Nov-Bill'!$A$15:$X$96,24)</f>
        <v>0</v>
      </c>
      <c r="M64" s="45">
        <f>VLOOKUP($A64,'NG-Dec-Bill'!$A$15:$X$96,24)</f>
        <v>0</v>
      </c>
      <c r="O64" s="45">
        <f t="shared" si="0"/>
        <v>0</v>
      </c>
    </row>
    <row r="65" spans="1:15">
      <c r="A65" s="44">
        <v>4399122004</v>
      </c>
      <c r="B65" s="45">
        <f>VLOOKUP($A65,'NG-Jan-Bill'!$A$15:$X$96,24)</f>
        <v>69.48</v>
      </c>
      <c r="C65" s="45">
        <f>VLOOKUP($A65,'NG-Feb-Bill'!$A$15:$X$96,24)</f>
        <v>73.819999999999993</v>
      </c>
      <c r="D65" s="45">
        <f>VLOOKUP($A65,'NG_Mar-Bill'!$A$15:$X$96,24)</f>
        <v>66.239999999999995</v>
      </c>
      <c r="E65" s="45">
        <f>VLOOKUP($A65,'NG-Apr-Bill'!$A$15:$X$96,24)</f>
        <v>53.99</v>
      </c>
      <c r="F65" s="45">
        <f>VLOOKUP($A65,'NG-May-Bill'!$A$15:$X$96,24)</f>
        <v>30.3</v>
      </c>
      <c r="G65" s="45">
        <f>VLOOKUP($A65,'NG-Jun-Bill'!$A$15:$X$96,24)</f>
        <v>23.77</v>
      </c>
      <c r="H65" s="45">
        <f>VLOOKUP($A65,'NG-Jul-Bill'!$A$15:$X$96,24)</f>
        <v>23.77</v>
      </c>
      <c r="I65" s="45">
        <f>VLOOKUP($A65,'NG-Aug-Bill'!$A$15:$X$96,24)</f>
        <v>23.77</v>
      </c>
      <c r="J65" s="45">
        <f>VLOOKUP($A65,'NG-Sept-Bill'!$A$15:$X$96,24)</f>
        <v>23.77</v>
      </c>
      <c r="K65" s="45">
        <f>VLOOKUP($A65,'NG-Oct-Bill'!$A$15:$X$96,24)</f>
        <v>25.46</v>
      </c>
      <c r="L65" s="45">
        <f>VLOOKUP($A65,'NG-Nov-Bill'!$A$15:$X$96,24)</f>
        <v>45.52</v>
      </c>
      <c r="M65" s="45">
        <f>VLOOKUP($A65,'NG-Dec-Bill'!$A$15:$X$96,24)</f>
        <v>61.11</v>
      </c>
      <c r="O65" s="45">
        <f t="shared" si="0"/>
        <v>520.99999999999989</v>
      </c>
    </row>
    <row r="66" spans="1:15">
      <c r="A66" s="44">
        <v>4513814101</v>
      </c>
      <c r="B66" s="45">
        <f>VLOOKUP($A66,'NG-Jan-Bill'!$A$15:$X$96,24)</f>
        <v>329.07</v>
      </c>
      <c r="C66" s="45">
        <f>VLOOKUP($A66,'NG-Feb-Bill'!$A$15:$X$96,24)</f>
        <v>327.29000000000002</v>
      </c>
      <c r="D66" s="45">
        <f>VLOOKUP($A66,'NG_Mar-Bill'!$A$15:$X$96,24)</f>
        <v>241.48</v>
      </c>
      <c r="E66" s="45">
        <f>VLOOKUP($A66,'NG-Apr-Bill'!$A$15:$X$96,24)</f>
        <v>212.78</v>
      </c>
      <c r="F66" s="45">
        <f>VLOOKUP($A66,'NG-May-Bill'!$A$15:$X$96,24)</f>
        <v>70.510000000000005</v>
      </c>
      <c r="G66" s="45">
        <f>VLOOKUP($A66,'NG-Jun-Bill'!$A$15:$X$96,24)</f>
        <v>32.32</v>
      </c>
      <c r="H66" s="45">
        <f>VLOOKUP($A66,'NG-Jul-Bill'!$A$15:$X$96,24)</f>
        <v>28.82</v>
      </c>
      <c r="I66" s="45">
        <f>VLOOKUP($A66,'NG-Aug-Bill'!$A$15:$X$96,24)</f>
        <v>29.95</v>
      </c>
      <c r="J66" s="45">
        <f>VLOOKUP($A66,'NG-Sept-Bill'!$A$15:$X$96,24)</f>
        <v>30.77</v>
      </c>
      <c r="K66" s="45">
        <f>VLOOKUP($A66,'NG-Oct-Bill'!$A$15:$X$96,24)</f>
        <v>43.12</v>
      </c>
      <c r="L66" s="45">
        <f>VLOOKUP($A66,'NG-Nov-Bill'!$A$15:$X$96,24)</f>
        <v>112.66</v>
      </c>
      <c r="M66" s="45">
        <f>VLOOKUP($A66,'NG-Dec-Bill'!$A$15:$X$96,24)</f>
        <v>323.02</v>
      </c>
      <c r="O66" s="45">
        <f t="shared" si="0"/>
        <v>1781.79</v>
      </c>
    </row>
    <row r="67" spans="1:15">
      <c r="A67" s="44">
        <v>4533881110</v>
      </c>
      <c r="B67" s="45">
        <f>VLOOKUP($A67,'NG-Jan-Bill'!$A$15:$X$96,24)</f>
        <v>0</v>
      </c>
      <c r="C67" s="45">
        <f>VLOOKUP($A67,'NG-Feb-Bill'!$A$15:$X$96,24)</f>
        <v>0</v>
      </c>
      <c r="D67" s="45">
        <f>VLOOKUP($A67,'NG_Mar-Bill'!$A$15:$X$96,24)</f>
        <v>0</v>
      </c>
      <c r="E67" s="45">
        <f>VLOOKUP($A67,'NG-Apr-Bill'!$A$15:$X$96,24)</f>
        <v>0</v>
      </c>
      <c r="F67" s="45">
        <f>VLOOKUP($A67,'NG-May-Bill'!$A$15:$X$96,24)</f>
        <v>0</v>
      </c>
      <c r="G67" s="45">
        <f>VLOOKUP($A67,'NG-Jun-Bill'!$A$15:$X$96,24)</f>
        <v>0</v>
      </c>
      <c r="H67" s="45">
        <f>VLOOKUP($A67,'NG-Jul-Bill'!$A$15:$X$96,24)</f>
        <v>0</v>
      </c>
      <c r="I67" s="45">
        <f>VLOOKUP($A67,'NG-Aug-Bill'!$A$15:$X$96,24)</f>
        <v>0</v>
      </c>
      <c r="J67" s="45">
        <f>VLOOKUP($A67,'NG-Sept-Bill'!$A$15:$X$96,24)</f>
        <v>0</v>
      </c>
      <c r="K67" s="45">
        <f>VLOOKUP($A67,'NG-Oct-Bill'!$A$15:$X$96,24)</f>
        <v>0</v>
      </c>
      <c r="L67" s="45">
        <f>VLOOKUP($A67,'NG-Nov-Bill'!$A$15:$X$96,24)</f>
        <v>0</v>
      </c>
      <c r="M67" s="45">
        <f>VLOOKUP($A67,'NG-Dec-Bill'!$A$15:$X$96,24)</f>
        <v>0</v>
      </c>
      <c r="O67" s="45">
        <f t="shared" si="0"/>
        <v>0</v>
      </c>
    </row>
    <row r="68" spans="1:15">
      <c r="A68" s="44">
        <v>4568811105</v>
      </c>
      <c r="B68" s="45">
        <f>VLOOKUP($A68,'NG-Jan-Bill'!$A$15:$X$96,24)</f>
        <v>0</v>
      </c>
      <c r="C68" s="45">
        <f>VLOOKUP($A68,'NG-Feb-Bill'!$A$15:$X$96,24)</f>
        <v>0</v>
      </c>
      <c r="D68" s="45">
        <f>VLOOKUP($A68,'NG_Mar-Bill'!$A$15:$X$96,24)</f>
        <v>0</v>
      </c>
      <c r="E68" s="45">
        <f>VLOOKUP($A68,'NG-Apr-Bill'!$A$15:$X$96,24)</f>
        <v>0</v>
      </c>
      <c r="F68" s="45">
        <f>VLOOKUP($A68,'NG-May-Bill'!$A$15:$X$96,24)</f>
        <v>0</v>
      </c>
      <c r="G68" s="45">
        <f>VLOOKUP($A68,'NG-Jun-Bill'!$A$15:$X$96,24)</f>
        <v>0</v>
      </c>
      <c r="H68" s="45">
        <f>VLOOKUP($A68,'NG-Jul-Bill'!$A$15:$X$96,24)</f>
        <v>0</v>
      </c>
      <c r="I68" s="45">
        <f>VLOOKUP($A68,'NG-Aug-Bill'!$A$15:$X$96,24)</f>
        <v>0</v>
      </c>
      <c r="J68" s="45">
        <f>VLOOKUP($A68,'NG-Sept-Bill'!$A$15:$X$96,24)</f>
        <v>0</v>
      </c>
      <c r="K68" s="45">
        <f>VLOOKUP($A68,'NG-Oct-Bill'!$A$15:$X$96,24)</f>
        <v>0</v>
      </c>
      <c r="L68" s="45">
        <f>VLOOKUP($A68,'NG-Nov-Bill'!$A$15:$X$96,24)</f>
        <v>0</v>
      </c>
      <c r="M68" s="45">
        <f>VLOOKUP($A68,'NG-Dec-Bill'!$A$15:$X$96,24)</f>
        <v>0</v>
      </c>
      <c r="O68" s="45">
        <f t="shared" si="0"/>
        <v>0</v>
      </c>
    </row>
    <row r="69" spans="1:15">
      <c r="A69" s="44">
        <v>4588811101</v>
      </c>
      <c r="B69" s="45">
        <f>VLOOKUP($A69,'NG-Jan-Bill'!$A$15:$X$96,24)</f>
        <v>0</v>
      </c>
      <c r="C69" s="45">
        <f>VLOOKUP($A69,'NG-Feb-Bill'!$A$15:$X$96,24)</f>
        <v>0</v>
      </c>
      <c r="D69" s="45">
        <f>VLOOKUP($A69,'NG_Mar-Bill'!$A$15:$X$96,24)</f>
        <v>0</v>
      </c>
      <c r="E69" s="45">
        <f>VLOOKUP($A69,'NG-Apr-Bill'!$A$15:$X$96,24)</f>
        <v>0</v>
      </c>
      <c r="F69" s="45">
        <f>VLOOKUP($A69,'NG-May-Bill'!$A$15:$X$96,24)</f>
        <v>0</v>
      </c>
      <c r="G69" s="45">
        <f>VLOOKUP($A69,'NG-Jun-Bill'!$A$15:$X$96,24)</f>
        <v>0</v>
      </c>
      <c r="H69" s="45">
        <f>VLOOKUP($A69,'NG-Jul-Bill'!$A$15:$X$96,24)</f>
        <v>0</v>
      </c>
      <c r="I69" s="45">
        <f>VLOOKUP($A69,'NG-Aug-Bill'!$A$15:$X$96,24)</f>
        <v>0</v>
      </c>
      <c r="J69" s="45">
        <f>VLOOKUP($A69,'NG-Sept-Bill'!$A$15:$X$96,24)</f>
        <v>0</v>
      </c>
      <c r="K69" s="45">
        <f>VLOOKUP($A69,'NG-Oct-Bill'!$A$15:$X$96,24)</f>
        <v>0</v>
      </c>
      <c r="L69" s="45">
        <f>VLOOKUP($A69,'NG-Nov-Bill'!$A$15:$X$96,24)</f>
        <v>0</v>
      </c>
      <c r="M69" s="45">
        <f>VLOOKUP($A69,'NG-Dec-Bill'!$A$15:$X$96,24)</f>
        <v>0</v>
      </c>
      <c r="O69" s="45">
        <f t="shared" si="0"/>
        <v>0</v>
      </c>
    </row>
    <row r="70" spans="1:15">
      <c r="A70" s="44">
        <v>4794009102</v>
      </c>
      <c r="B70" s="45">
        <f>VLOOKUP($A70,'NG-Jan-Bill'!$A$15:$X$96,24)</f>
        <v>25.94</v>
      </c>
      <c r="C70" s="45">
        <f>VLOOKUP($A70,'NG-Feb-Bill'!$A$15:$X$96,24)</f>
        <v>26.27</v>
      </c>
      <c r="D70" s="45">
        <f>VLOOKUP($A70,'NG_Mar-Bill'!$A$15:$X$96,24)</f>
        <v>26.46</v>
      </c>
      <c r="E70" s="45">
        <f>VLOOKUP($A70,'NG-Apr-Bill'!$A$15:$X$96,24)</f>
        <v>26.46</v>
      </c>
      <c r="F70" s="45">
        <f>VLOOKUP($A70,'NG-May-Bill'!$A$15:$X$96,24)</f>
        <v>26.69</v>
      </c>
      <c r="G70" s="45">
        <f>VLOOKUP($A70,'NG-Jun-Bill'!$A$15:$X$96,24)</f>
        <v>30.72</v>
      </c>
      <c r="H70" s="45">
        <f>VLOOKUP($A70,'NG-Jul-Bill'!$A$15:$X$96,24)</f>
        <v>30.72</v>
      </c>
      <c r="I70" s="45">
        <f>VLOOKUP($A70,'NG-Aug-Bill'!$A$15:$X$96,24)</f>
        <v>27.45</v>
      </c>
      <c r="J70" s="45">
        <f>VLOOKUP($A70,'NG-Sept-Bill'!$A$15:$X$96,24)</f>
        <v>26.28</v>
      </c>
      <c r="K70" s="45">
        <f>VLOOKUP($A70,'NG-Oct-Bill'!$A$15:$X$96,24)</f>
        <v>27.78</v>
      </c>
      <c r="L70" s="45">
        <f>VLOOKUP($A70,'NG-Nov-Bill'!$A$15:$X$96,24)</f>
        <v>25.61</v>
      </c>
      <c r="M70" s="45">
        <f>VLOOKUP($A70,'NG-Dec-Bill'!$A$15:$X$96,24)</f>
        <v>26.5</v>
      </c>
      <c r="O70" s="45">
        <f t="shared" si="0"/>
        <v>326.88</v>
      </c>
    </row>
    <row r="71" spans="1:15">
      <c r="A71" s="44">
        <v>5048811100</v>
      </c>
      <c r="B71" s="45">
        <f>VLOOKUP($A71,'NG-Jan-Bill'!$A$15:$X$96,24)</f>
        <v>0</v>
      </c>
      <c r="C71" s="45">
        <f>VLOOKUP($A71,'NG-Feb-Bill'!$A$15:$X$96,24)</f>
        <v>0</v>
      </c>
      <c r="D71" s="45">
        <f>VLOOKUP($A71,'NG_Mar-Bill'!$A$15:$X$96,24)</f>
        <v>0</v>
      </c>
      <c r="E71" s="45">
        <f>VLOOKUP($A71,'NG-Apr-Bill'!$A$15:$X$96,24)</f>
        <v>0</v>
      </c>
      <c r="F71" s="45">
        <f>VLOOKUP($A71,'NG-May-Bill'!$A$15:$X$96,24)</f>
        <v>0</v>
      </c>
      <c r="G71" s="45">
        <f>VLOOKUP($A71,'NG-Jun-Bill'!$A$15:$X$96,24)</f>
        <v>0</v>
      </c>
      <c r="H71" s="45">
        <f>VLOOKUP($A71,'NG-Jul-Bill'!$A$15:$X$96,24)</f>
        <v>0</v>
      </c>
      <c r="I71" s="45">
        <f>VLOOKUP($A71,'NG-Aug-Bill'!$A$15:$X$96,24)</f>
        <v>0</v>
      </c>
      <c r="J71" s="45">
        <f>VLOOKUP($A71,'NG-Sept-Bill'!$A$15:$X$96,24)</f>
        <v>0</v>
      </c>
      <c r="K71" s="45">
        <f>VLOOKUP($A71,'NG-Oct-Bill'!$A$15:$X$96,24)</f>
        <v>0</v>
      </c>
      <c r="L71" s="45">
        <f>VLOOKUP($A71,'NG-Nov-Bill'!$A$15:$X$96,24)</f>
        <v>0</v>
      </c>
      <c r="M71" s="45">
        <f>VLOOKUP($A71,'NG-Dec-Bill'!$A$15:$X$96,24)</f>
        <v>0</v>
      </c>
      <c r="O71" s="45">
        <f t="shared" si="0"/>
        <v>0</v>
      </c>
    </row>
    <row r="72" spans="1:15">
      <c r="A72" s="44">
        <v>5293880104</v>
      </c>
      <c r="B72" s="45">
        <f>VLOOKUP($A72,'NG-Jan-Bill'!$A$15:$X$96,24)</f>
        <v>0</v>
      </c>
      <c r="C72" s="45">
        <f>VLOOKUP($A72,'NG-Feb-Bill'!$A$15:$X$96,24)</f>
        <v>0</v>
      </c>
      <c r="D72" s="45">
        <f>VLOOKUP($A72,'NG_Mar-Bill'!$A$15:$X$96,24)</f>
        <v>0</v>
      </c>
      <c r="E72" s="45">
        <f>VLOOKUP($A72,'NG-Apr-Bill'!$A$15:$X$96,24)</f>
        <v>0</v>
      </c>
      <c r="F72" s="45">
        <f>VLOOKUP($A72,'NG-May-Bill'!$A$15:$X$96,24)</f>
        <v>0</v>
      </c>
      <c r="G72" s="45">
        <f>VLOOKUP($A72,'NG-Jun-Bill'!$A$15:$X$96,24)</f>
        <v>0</v>
      </c>
      <c r="H72" s="45">
        <f>VLOOKUP($A72,'NG-Jul-Bill'!$A$15:$X$96,24)</f>
        <v>0</v>
      </c>
      <c r="I72" s="45">
        <f>VLOOKUP($A72,'NG-Aug-Bill'!$A$15:$X$96,24)</f>
        <v>0</v>
      </c>
      <c r="J72" s="45">
        <f>VLOOKUP($A72,'NG-Sept-Bill'!$A$15:$X$96,24)</f>
        <v>0</v>
      </c>
      <c r="K72" s="45">
        <f>VLOOKUP($A72,'NG-Oct-Bill'!$A$15:$X$96,24)</f>
        <v>0</v>
      </c>
      <c r="L72" s="45">
        <f>VLOOKUP($A72,'NG-Nov-Bill'!$A$15:$X$96,24)</f>
        <v>0</v>
      </c>
      <c r="M72" s="45">
        <f>VLOOKUP($A72,'NG-Dec-Bill'!$A$15:$X$96,24)</f>
        <v>0</v>
      </c>
      <c r="O72" s="45">
        <f t="shared" si="0"/>
        <v>0</v>
      </c>
    </row>
    <row r="73" spans="1:15">
      <c r="A73" s="44">
        <v>5333812119</v>
      </c>
      <c r="B73" s="45">
        <f>VLOOKUP($A73,'NG-Jan-Bill'!$A$15:$X$96,24)</f>
        <v>0</v>
      </c>
      <c r="C73" s="45">
        <f>VLOOKUP($A73,'NG-Feb-Bill'!$A$15:$X$96,24)</f>
        <v>0</v>
      </c>
      <c r="D73" s="45">
        <f>VLOOKUP($A73,'NG_Mar-Bill'!$A$15:$X$96,24)</f>
        <v>0</v>
      </c>
      <c r="E73" s="45">
        <f>VLOOKUP($A73,'NG-Apr-Bill'!$A$15:$X$96,24)</f>
        <v>0</v>
      </c>
      <c r="F73" s="45">
        <f>VLOOKUP($A73,'NG-May-Bill'!$A$15:$X$96,24)</f>
        <v>0</v>
      </c>
      <c r="G73" s="45">
        <f>VLOOKUP($A73,'NG-Jun-Bill'!$A$15:$X$96,24)</f>
        <v>0</v>
      </c>
      <c r="H73" s="45">
        <f>VLOOKUP($A73,'NG-Jul-Bill'!$A$15:$X$96,24)</f>
        <v>0</v>
      </c>
      <c r="I73" s="45">
        <f>VLOOKUP($A73,'NG-Aug-Bill'!$A$15:$X$96,24)</f>
        <v>0</v>
      </c>
      <c r="J73" s="45">
        <f>VLOOKUP($A73,'NG-Sept-Bill'!$A$15:$X$96,24)</f>
        <v>0</v>
      </c>
      <c r="K73" s="45">
        <f>VLOOKUP($A73,'NG-Oct-Bill'!$A$15:$X$96,24)</f>
        <v>0</v>
      </c>
      <c r="L73" s="45">
        <f>VLOOKUP($A73,'NG-Nov-Bill'!$A$15:$X$96,24)</f>
        <v>0</v>
      </c>
      <c r="M73" s="45">
        <f>VLOOKUP($A73,'NG-Dec-Bill'!$A$15:$X$96,24)</f>
        <v>0</v>
      </c>
      <c r="O73" s="45">
        <f t="shared" si="0"/>
        <v>0</v>
      </c>
    </row>
    <row r="74" spans="1:15">
      <c r="A74" s="44">
        <v>5513812108</v>
      </c>
      <c r="B74" s="45">
        <f>VLOOKUP($A74,'NG-Jan-Bill'!$A$15:$X$96,24)</f>
        <v>0</v>
      </c>
      <c r="C74" s="45">
        <f>VLOOKUP($A74,'NG-Feb-Bill'!$A$15:$X$96,24)</f>
        <v>0</v>
      </c>
      <c r="D74" s="45">
        <f>VLOOKUP($A74,'NG_Mar-Bill'!$A$15:$X$96,24)</f>
        <v>0</v>
      </c>
      <c r="E74" s="45">
        <f>VLOOKUP($A74,'NG-Apr-Bill'!$A$15:$X$96,24)</f>
        <v>0</v>
      </c>
      <c r="F74" s="45">
        <f>VLOOKUP($A74,'NG-May-Bill'!$A$15:$X$96,24)</f>
        <v>0</v>
      </c>
      <c r="G74" s="45">
        <f>VLOOKUP($A74,'NG-Jun-Bill'!$A$15:$X$96,24)</f>
        <v>0</v>
      </c>
      <c r="H74" s="45">
        <f>VLOOKUP($A74,'NG-Jul-Bill'!$A$15:$X$96,24)</f>
        <v>0</v>
      </c>
      <c r="I74" s="45">
        <f>VLOOKUP($A74,'NG-Aug-Bill'!$A$15:$X$96,24)</f>
        <v>0</v>
      </c>
      <c r="J74" s="45">
        <f>VLOOKUP($A74,'NG-Sept-Bill'!$A$15:$X$96,24)</f>
        <v>0</v>
      </c>
      <c r="K74" s="45">
        <f>VLOOKUP($A74,'NG-Oct-Bill'!$A$15:$X$96,24)</f>
        <v>0</v>
      </c>
      <c r="L74" s="45">
        <f>VLOOKUP($A74,'NG-Nov-Bill'!$A$15:$X$96,24)</f>
        <v>0</v>
      </c>
      <c r="M74" s="45">
        <f>VLOOKUP($A74,'NG-Dec-Bill'!$A$15:$X$96,24)</f>
        <v>0</v>
      </c>
      <c r="O74" s="45">
        <f t="shared" si="0"/>
        <v>0</v>
      </c>
    </row>
    <row r="75" spans="1:15">
      <c r="A75" s="44">
        <v>5613808124</v>
      </c>
      <c r="B75" s="45">
        <f>VLOOKUP($A75,'NG-Jan-Bill'!$A$15:$X$96,24)</f>
        <v>0</v>
      </c>
      <c r="C75" s="45">
        <f>VLOOKUP($A75,'NG-Feb-Bill'!$A$15:$X$96,24)</f>
        <v>0</v>
      </c>
      <c r="D75" s="45">
        <f>VLOOKUP($A75,'NG_Mar-Bill'!$A$15:$X$96,24)</f>
        <v>0</v>
      </c>
      <c r="E75" s="45">
        <f>VLOOKUP($A75,'NG-Apr-Bill'!$A$15:$X$96,24)</f>
        <v>0</v>
      </c>
      <c r="F75" s="45">
        <f>VLOOKUP($A75,'NG-May-Bill'!$A$15:$X$96,24)</f>
        <v>0</v>
      </c>
      <c r="G75" s="45">
        <f>VLOOKUP($A75,'NG-Jun-Bill'!$A$15:$X$96,24)</f>
        <v>0</v>
      </c>
      <c r="H75" s="45">
        <f>VLOOKUP($A75,'NG-Jul-Bill'!$A$15:$X$96,24)</f>
        <v>0</v>
      </c>
      <c r="I75" s="45">
        <f>VLOOKUP($A75,'NG-Aug-Bill'!$A$15:$X$96,24)</f>
        <v>0</v>
      </c>
      <c r="J75" s="45">
        <f>VLOOKUP($A75,'NG-Sept-Bill'!$A$15:$X$96,24)</f>
        <v>0</v>
      </c>
      <c r="K75" s="45">
        <f>VLOOKUP($A75,'NG-Oct-Bill'!$A$15:$X$96,24)</f>
        <v>0</v>
      </c>
      <c r="L75" s="45">
        <f>VLOOKUP($A75,'NG-Nov-Bill'!$A$15:$X$96,24)</f>
        <v>0</v>
      </c>
      <c r="M75" s="45">
        <f>VLOOKUP($A75,'NG-Dec-Bill'!$A$15:$X$96,24)</f>
        <v>0</v>
      </c>
      <c r="O75" s="45">
        <f t="shared" si="0"/>
        <v>0</v>
      </c>
    </row>
    <row r="76" spans="1:15">
      <c r="A76" s="44">
        <v>5668811108</v>
      </c>
      <c r="B76" s="45">
        <f>VLOOKUP($A76,'NG-Jan-Bill'!$A$15:$X$96,24)</f>
        <v>0</v>
      </c>
      <c r="C76" s="45">
        <f>VLOOKUP($A76,'NG-Feb-Bill'!$A$15:$X$96,24)</f>
        <v>0</v>
      </c>
      <c r="D76" s="45">
        <f>VLOOKUP($A76,'NG_Mar-Bill'!$A$15:$X$96,24)</f>
        <v>0</v>
      </c>
      <c r="E76" s="45">
        <f>VLOOKUP($A76,'NG-Apr-Bill'!$A$15:$X$96,24)</f>
        <v>0</v>
      </c>
      <c r="F76" s="45">
        <f>VLOOKUP($A76,'NG-May-Bill'!$A$15:$X$96,24)</f>
        <v>0</v>
      </c>
      <c r="G76" s="45">
        <f>VLOOKUP($A76,'NG-Jun-Bill'!$A$15:$X$96,24)</f>
        <v>0</v>
      </c>
      <c r="H76" s="45">
        <f>VLOOKUP($A76,'NG-Jul-Bill'!$A$15:$X$96,24)</f>
        <v>0</v>
      </c>
      <c r="I76" s="45">
        <f>VLOOKUP($A76,'NG-Aug-Bill'!$A$15:$X$96,24)</f>
        <v>0</v>
      </c>
      <c r="J76" s="45">
        <f>VLOOKUP($A76,'NG-Sept-Bill'!$A$15:$X$96,24)</f>
        <v>0</v>
      </c>
      <c r="K76" s="45">
        <f>VLOOKUP($A76,'NG-Oct-Bill'!$A$15:$X$96,24)</f>
        <v>0</v>
      </c>
      <c r="L76" s="45">
        <f>VLOOKUP($A76,'NG-Nov-Bill'!$A$15:$X$96,24)</f>
        <v>0</v>
      </c>
      <c r="M76" s="45">
        <f>VLOOKUP($A76,'NG-Dec-Bill'!$A$15:$X$96,24)</f>
        <v>0</v>
      </c>
      <c r="O76" s="45">
        <f t="shared" si="0"/>
        <v>0</v>
      </c>
    </row>
    <row r="77" spans="1:15">
      <c r="A77" s="44">
        <v>5748811104</v>
      </c>
      <c r="B77" s="45">
        <f>VLOOKUP($A77,'NG-Jan-Bill'!$A$15:$X$96,24)</f>
        <v>0</v>
      </c>
      <c r="C77" s="45">
        <f>VLOOKUP($A77,'NG-Feb-Bill'!$A$15:$X$96,24)</f>
        <v>0</v>
      </c>
      <c r="D77" s="45">
        <f>VLOOKUP($A77,'NG_Mar-Bill'!$A$15:$X$96,24)</f>
        <v>0</v>
      </c>
      <c r="E77" s="45">
        <f>VLOOKUP($A77,'NG-Apr-Bill'!$A$15:$X$96,24)</f>
        <v>0</v>
      </c>
      <c r="F77" s="45">
        <f>VLOOKUP($A77,'NG-May-Bill'!$A$15:$X$96,24)</f>
        <v>0</v>
      </c>
      <c r="G77" s="45">
        <f>VLOOKUP($A77,'NG-Jun-Bill'!$A$15:$X$96,24)</f>
        <v>0</v>
      </c>
      <c r="H77" s="45">
        <f>VLOOKUP($A77,'NG-Jul-Bill'!$A$15:$X$96,24)</f>
        <v>0</v>
      </c>
      <c r="I77" s="45">
        <f>VLOOKUP($A77,'NG-Aug-Bill'!$A$15:$X$96,24)</f>
        <v>0</v>
      </c>
      <c r="J77" s="45">
        <f>VLOOKUP($A77,'NG-Sept-Bill'!$A$15:$X$96,24)</f>
        <v>0</v>
      </c>
      <c r="K77" s="45">
        <f>VLOOKUP($A77,'NG-Oct-Bill'!$A$15:$X$96,24)</f>
        <v>0</v>
      </c>
      <c r="L77" s="45">
        <f>VLOOKUP($A77,'NG-Nov-Bill'!$A$15:$X$96,24)</f>
        <v>0</v>
      </c>
      <c r="M77" s="45">
        <f>VLOOKUP($A77,'NG-Dec-Bill'!$A$15:$X$96,24)</f>
        <v>0</v>
      </c>
      <c r="O77" s="45">
        <f t="shared" si="0"/>
        <v>0</v>
      </c>
    </row>
    <row r="78" spans="1:15">
      <c r="A78" s="44">
        <v>5828811100</v>
      </c>
      <c r="B78" s="45">
        <f>VLOOKUP($A78,'NG-Jan-Bill'!$A$15:$X$96,24)</f>
        <v>0</v>
      </c>
      <c r="C78" s="45">
        <f>VLOOKUP($A78,'NG-Feb-Bill'!$A$15:$X$96,24)</f>
        <v>0</v>
      </c>
      <c r="D78" s="45">
        <f>VLOOKUP($A78,'NG_Mar-Bill'!$A$15:$X$96,24)</f>
        <v>0</v>
      </c>
      <c r="E78" s="45">
        <f>VLOOKUP($A78,'NG-Apr-Bill'!$A$15:$X$96,24)</f>
        <v>0</v>
      </c>
      <c r="F78" s="45">
        <f>VLOOKUP($A78,'NG-May-Bill'!$A$15:$X$96,24)</f>
        <v>0</v>
      </c>
      <c r="G78" s="45">
        <f>VLOOKUP($A78,'NG-Jun-Bill'!$A$15:$X$96,24)</f>
        <v>0</v>
      </c>
      <c r="H78" s="45">
        <f>VLOOKUP($A78,'NG-Jul-Bill'!$A$15:$X$96,24)</f>
        <v>0</v>
      </c>
      <c r="I78" s="45">
        <f>VLOOKUP($A78,'NG-Aug-Bill'!$A$15:$X$96,24)</f>
        <v>0</v>
      </c>
      <c r="J78" s="45">
        <f>VLOOKUP($A78,'NG-Sept-Bill'!$A$15:$X$96,24)</f>
        <v>0</v>
      </c>
      <c r="K78" s="45">
        <f>VLOOKUP($A78,'NG-Oct-Bill'!$A$15:$X$96,24)</f>
        <v>0</v>
      </c>
      <c r="L78" s="45">
        <f>VLOOKUP($A78,'NG-Nov-Bill'!$A$15:$X$96,24)</f>
        <v>0</v>
      </c>
      <c r="M78" s="45">
        <f>VLOOKUP($A78,'NG-Dec-Bill'!$A$15:$X$96,24)</f>
        <v>0</v>
      </c>
      <c r="O78" s="45">
        <f t="shared" si="0"/>
        <v>0</v>
      </c>
    </row>
    <row r="79" spans="1:15">
      <c r="A79" s="44">
        <v>5913814119</v>
      </c>
      <c r="B79" s="45">
        <f>VLOOKUP($A79,'NG-Jan-Bill'!$A$15:$X$96,24)</f>
        <v>0</v>
      </c>
      <c r="C79" s="45">
        <f>VLOOKUP($A79,'NG-Feb-Bill'!$A$15:$X$96,24)</f>
        <v>0</v>
      </c>
      <c r="D79" s="45">
        <f>VLOOKUP($A79,'NG_Mar-Bill'!$A$15:$X$96,24)</f>
        <v>0</v>
      </c>
      <c r="E79" s="45">
        <f>VLOOKUP($A79,'NG-Apr-Bill'!$A$15:$X$96,24)</f>
        <v>0</v>
      </c>
      <c r="F79" s="45">
        <f>VLOOKUP($A79,'NG-May-Bill'!$A$15:$X$96,24)</f>
        <v>0</v>
      </c>
      <c r="G79" s="45">
        <f>VLOOKUP($A79,'NG-Jun-Bill'!$A$15:$X$96,24)</f>
        <v>0</v>
      </c>
      <c r="H79" s="45">
        <f>VLOOKUP($A79,'NG-Jul-Bill'!$A$15:$X$96,24)</f>
        <v>0</v>
      </c>
      <c r="I79" s="45">
        <f>VLOOKUP($A79,'NG-Aug-Bill'!$A$15:$X$96,24)</f>
        <v>0</v>
      </c>
      <c r="J79" s="45">
        <f>VLOOKUP($A79,'NG-Sept-Bill'!$A$15:$X$96,24)</f>
        <v>0</v>
      </c>
      <c r="K79" s="45">
        <f>VLOOKUP($A79,'NG-Oct-Bill'!$A$15:$X$96,24)</f>
        <v>0</v>
      </c>
      <c r="L79" s="45">
        <f>VLOOKUP($A79,'NG-Nov-Bill'!$A$15:$X$96,24)</f>
        <v>0</v>
      </c>
      <c r="M79" s="45">
        <f>VLOOKUP($A79,'NG-Dec-Bill'!$A$15:$X$96,24)</f>
        <v>0</v>
      </c>
      <c r="O79" s="45">
        <f t="shared" si="0"/>
        <v>0</v>
      </c>
    </row>
    <row r="80" spans="1:15">
      <c r="A80" s="44">
        <v>5933814115</v>
      </c>
      <c r="B80" s="45">
        <f>VLOOKUP($A80,'NG-Jan-Bill'!$A$15:$X$96,24)</f>
        <v>0</v>
      </c>
      <c r="C80" s="45">
        <f>VLOOKUP($A80,'NG-Feb-Bill'!$A$15:$X$96,24)</f>
        <v>0</v>
      </c>
      <c r="D80" s="45">
        <f>VLOOKUP($A80,'NG_Mar-Bill'!$A$15:$X$96,24)</f>
        <v>0</v>
      </c>
      <c r="E80" s="45">
        <f>VLOOKUP($A80,'NG-Apr-Bill'!$A$15:$X$96,24)</f>
        <v>0</v>
      </c>
      <c r="F80" s="45">
        <f>VLOOKUP($A80,'NG-May-Bill'!$A$15:$X$96,24)</f>
        <v>0</v>
      </c>
      <c r="G80" s="45">
        <f>VLOOKUP($A80,'NG-Jun-Bill'!$A$15:$X$96,24)</f>
        <v>0</v>
      </c>
      <c r="H80" s="45">
        <f>VLOOKUP($A80,'NG-Jul-Bill'!$A$15:$X$96,24)</f>
        <v>0</v>
      </c>
      <c r="I80" s="45">
        <f>VLOOKUP($A80,'NG-Aug-Bill'!$A$15:$X$96,24)</f>
        <v>0</v>
      </c>
      <c r="J80" s="45">
        <f>VLOOKUP($A80,'NG-Sept-Bill'!$A$15:$X$96,24)</f>
        <v>0</v>
      </c>
      <c r="K80" s="45">
        <f>VLOOKUP($A80,'NG-Oct-Bill'!$A$15:$X$96,24)</f>
        <v>0</v>
      </c>
      <c r="L80" s="45">
        <f>VLOOKUP($A80,'NG-Nov-Bill'!$A$15:$X$96,24)</f>
        <v>0</v>
      </c>
      <c r="M80" s="45">
        <f>VLOOKUP($A80,'NG-Dec-Bill'!$A$15:$X$96,24)</f>
        <v>0</v>
      </c>
      <c r="O80" s="45">
        <f t="shared" ref="O80:O96" si="1">SUM(B80:N80)</f>
        <v>0</v>
      </c>
    </row>
    <row r="81" spans="1:15">
      <c r="A81" s="44">
        <v>6053820112</v>
      </c>
      <c r="B81" s="45">
        <f>VLOOKUP($A81,'NG-Jan-Bill'!$A$15:$X$96,24)</f>
        <v>0</v>
      </c>
      <c r="C81" s="45">
        <f>VLOOKUP($A81,'NG-Feb-Bill'!$A$15:$X$96,24)</f>
        <v>0</v>
      </c>
      <c r="D81" s="45">
        <f>VLOOKUP($A81,'NG_Mar-Bill'!$A$15:$X$96,24)</f>
        <v>0</v>
      </c>
      <c r="E81" s="45">
        <f>VLOOKUP($A81,'NG-Apr-Bill'!$A$15:$X$96,24)</f>
        <v>0</v>
      </c>
      <c r="F81" s="45">
        <f>VLOOKUP($A81,'NG-May-Bill'!$A$15:$X$96,24)</f>
        <v>0</v>
      </c>
      <c r="G81" s="45">
        <f>VLOOKUP($A81,'NG-Jun-Bill'!$A$15:$X$96,24)</f>
        <v>0</v>
      </c>
      <c r="H81" s="45">
        <f>VLOOKUP($A81,'NG-Jul-Bill'!$A$15:$X$96,24)</f>
        <v>0</v>
      </c>
      <c r="I81" s="45">
        <f>VLOOKUP($A81,'NG-Aug-Bill'!$A$15:$X$96,24)</f>
        <v>0</v>
      </c>
      <c r="J81" s="45">
        <f>VLOOKUP($A81,'NG-Sept-Bill'!$A$15:$X$96,24)</f>
        <v>0</v>
      </c>
      <c r="K81" s="45">
        <f>VLOOKUP($A81,'NG-Oct-Bill'!$A$15:$X$96,24)</f>
        <v>0</v>
      </c>
      <c r="L81" s="45">
        <f>VLOOKUP($A81,'NG-Nov-Bill'!$A$15:$X$96,24)</f>
        <v>0</v>
      </c>
      <c r="M81" s="45">
        <f>VLOOKUP($A81,'NG-Dec-Bill'!$A$15:$X$96,24)</f>
        <v>0</v>
      </c>
      <c r="O81" s="45">
        <f t="shared" si="1"/>
        <v>0</v>
      </c>
    </row>
    <row r="82" spans="1:15">
      <c r="A82" s="44">
        <v>6173817104</v>
      </c>
      <c r="B82" s="45">
        <f>VLOOKUP($A82,'NG-Jan-Bill'!$A$15:$X$96,24)</f>
        <v>0</v>
      </c>
      <c r="C82" s="45">
        <f>VLOOKUP($A82,'NG-Feb-Bill'!$A$15:$X$96,24)</f>
        <v>0</v>
      </c>
      <c r="D82" s="45">
        <f>VLOOKUP($A82,'NG_Mar-Bill'!$A$15:$X$96,24)</f>
        <v>0</v>
      </c>
      <c r="E82" s="45">
        <f>VLOOKUP($A82,'NG-Apr-Bill'!$A$15:$X$96,24)</f>
        <v>0</v>
      </c>
      <c r="F82" s="45">
        <f>VLOOKUP($A82,'NG-May-Bill'!$A$15:$X$96,24)</f>
        <v>0</v>
      </c>
      <c r="G82" s="45">
        <f>VLOOKUP($A82,'NG-Jun-Bill'!$A$15:$X$96,24)</f>
        <v>0</v>
      </c>
      <c r="H82" s="45">
        <f>VLOOKUP($A82,'NG-Jul-Bill'!$A$15:$X$96,24)</f>
        <v>0</v>
      </c>
      <c r="I82" s="45">
        <f>VLOOKUP($A82,'NG-Aug-Bill'!$A$15:$X$96,24)</f>
        <v>0</v>
      </c>
      <c r="J82" s="45">
        <f>VLOOKUP($A82,'NG-Sept-Bill'!$A$15:$X$96,24)</f>
        <v>0</v>
      </c>
      <c r="K82" s="45">
        <f>VLOOKUP($A82,'NG-Oct-Bill'!$A$15:$X$96,24)</f>
        <v>0</v>
      </c>
      <c r="L82" s="45">
        <f>VLOOKUP($A82,'NG-Nov-Bill'!$A$15:$X$96,24)</f>
        <v>0</v>
      </c>
      <c r="M82" s="45">
        <f>VLOOKUP($A82,'NG-Dec-Bill'!$A$15:$X$96,24)</f>
        <v>0</v>
      </c>
      <c r="O82" s="45">
        <f t="shared" si="1"/>
        <v>0</v>
      </c>
    </row>
    <row r="83" spans="1:15">
      <c r="A83" s="44">
        <v>6368810106</v>
      </c>
      <c r="B83" s="45">
        <f>VLOOKUP($A83,'NG-Jan-Bill'!$A$15:$X$96,24)</f>
        <v>0</v>
      </c>
      <c r="C83" s="45">
        <f>VLOOKUP($A83,'NG-Feb-Bill'!$A$15:$X$96,24)</f>
        <v>0</v>
      </c>
      <c r="D83" s="45">
        <f>VLOOKUP($A83,'NG_Mar-Bill'!$A$15:$X$96,24)</f>
        <v>0</v>
      </c>
      <c r="E83" s="45">
        <f>VLOOKUP($A83,'NG-Apr-Bill'!$A$15:$X$96,24)</f>
        <v>0</v>
      </c>
      <c r="F83" s="45">
        <f>VLOOKUP($A83,'NG-May-Bill'!$A$15:$X$96,24)</f>
        <v>0</v>
      </c>
      <c r="G83" s="45">
        <f>VLOOKUP($A83,'NG-Jun-Bill'!$A$15:$X$96,24)</f>
        <v>0</v>
      </c>
      <c r="H83" s="45">
        <f>VLOOKUP($A83,'NG-Jul-Bill'!$A$15:$X$96,24)</f>
        <v>0</v>
      </c>
      <c r="I83" s="45">
        <f>VLOOKUP($A83,'NG-Aug-Bill'!$A$15:$X$96,24)</f>
        <v>0</v>
      </c>
      <c r="J83" s="45">
        <f>VLOOKUP($A83,'NG-Sept-Bill'!$A$15:$X$96,24)</f>
        <v>0</v>
      </c>
      <c r="K83" s="45">
        <f>VLOOKUP($A83,'NG-Oct-Bill'!$A$15:$X$96,24)</f>
        <v>0</v>
      </c>
      <c r="L83" s="45">
        <f>VLOOKUP($A83,'NG-Nov-Bill'!$A$15:$X$96,24)</f>
        <v>0</v>
      </c>
      <c r="M83" s="45">
        <f>VLOOKUP($A83,'NG-Dec-Bill'!$A$15:$X$96,24)</f>
        <v>0</v>
      </c>
      <c r="O83" s="45">
        <f t="shared" si="1"/>
        <v>0</v>
      </c>
    </row>
    <row r="84" spans="1:15">
      <c r="A84" s="44">
        <v>6853819124</v>
      </c>
      <c r="B84" s="45">
        <f>VLOOKUP($A84,'NG-Jan-Bill'!$A$15:$X$96,24)</f>
        <v>0</v>
      </c>
      <c r="C84" s="45">
        <f>VLOOKUP($A84,'NG-Feb-Bill'!$A$15:$X$96,24)</f>
        <v>0</v>
      </c>
      <c r="D84" s="45">
        <f>VLOOKUP($A84,'NG_Mar-Bill'!$A$15:$X$96,24)</f>
        <v>0</v>
      </c>
      <c r="E84" s="45">
        <f>VLOOKUP($A84,'NG-Apr-Bill'!$A$15:$X$96,24)</f>
        <v>0</v>
      </c>
      <c r="F84" s="45">
        <f>VLOOKUP($A84,'NG-May-Bill'!$A$15:$X$96,24)</f>
        <v>0</v>
      </c>
      <c r="G84" s="45">
        <f>VLOOKUP($A84,'NG-Jun-Bill'!$A$15:$X$96,24)</f>
        <v>0</v>
      </c>
      <c r="H84" s="45">
        <f>VLOOKUP($A84,'NG-Jul-Bill'!$A$15:$X$96,24)</f>
        <v>0</v>
      </c>
      <c r="I84" s="45">
        <f>VLOOKUP($A84,'NG-Aug-Bill'!$A$15:$X$96,24)</f>
        <v>0</v>
      </c>
      <c r="J84" s="45">
        <f>VLOOKUP($A84,'NG-Sept-Bill'!$A$15:$X$96,24)</f>
        <v>0</v>
      </c>
      <c r="K84" s="45">
        <f>VLOOKUP($A84,'NG-Oct-Bill'!$A$15:$X$96,24)</f>
        <v>0</v>
      </c>
      <c r="L84" s="45">
        <f>VLOOKUP($A84,'NG-Nov-Bill'!$A$15:$X$96,24)</f>
        <v>0</v>
      </c>
      <c r="M84" s="45">
        <f>VLOOKUP($A84,'NG-Dec-Bill'!$A$15:$X$96,24)</f>
        <v>0</v>
      </c>
      <c r="O84" s="45">
        <f t="shared" si="1"/>
        <v>0</v>
      </c>
    </row>
    <row r="85" spans="1:15">
      <c r="A85" s="44">
        <v>6857311003</v>
      </c>
      <c r="B85" s="45">
        <f>VLOOKUP($A85,'NG-Jan-Bill'!$A$15:$X$96,24)</f>
        <v>0</v>
      </c>
      <c r="C85" s="45">
        <f>VLOOKUP($A85,'NG-Feb-Bill'!$A$15:$X$96,24)</f>
        <v>0</v>
      </c>
      <c r="D85" s="45">
        <f>VLOOKUP($A85,'NG_Mar-Bill'!$A$15:$X$96,24)</f>
        <v>0</v>
      </c>
      <c r="E85" s="45">
        <f>VLOOKUP($A85,'NG-Apr-Bill'!$A$15:$X$96,24)</f>
        <v>0</v>
      </c>
      <c r="F85" s="45">
        <f>VLOOKUP($A85,'NG-May-Bill'!$A$15:$X$96,24)</f>
        <v>0</v>
      </c>
      <c r="G85" s="45">
        <f>VLOOKUP($A85,'NG-Jun-Bill'!$A$15:$X$96,24)</f>
        <v>0</v>
      </c>
      <c r="H85" s="45">
        <f>VLOOKUP($A85,'NG-Jul-Bill'!$A$15:$X$96,24)</f>
        <v>0</v>
      </c>
      <c r="I85" s="45">
        <f>VLOOKUP($A85,'NG-Aug-Bill'!$A$15:$X$96,24)</f>
        <v>0</v>
      </c>
      <c r="J85" s="45">
        <f>VLOOKUP($A85,'NG-Sept-Bill'!$A$15:$X$96,24)</f>
        <v>0</v>
      </c>
      <c r="K85" s="45">
        <f>VLOOKUP($A85,'NG-Oct-Bill'!$A$15:$X$96,24)</f>
        <v>0</v>
      </c>
      <c r="L85" s="45">
        <f>VLOOKUP($A85,'NG-Nov-Bill'!$A$15:$X$96,24)</f>
        <v>0</v>
      </c>
      <c r="M85" s="45">
        <f>VLOOKUP($A85,'NG-Dec-Bill'!$A$15:$X$96,24)</f>
        <v>0</v>
      </c>
      <c r="O85" s="45">
        <f t="shared" si="1"/>
        <v>0</v>
      </c>
    </row>
    <row r="86" spans="1:15">
      <c r="A86" s="44">
        <v>7312015014</v>
      </c>
      <c r="B86" s="45">
        <f>VLOOKUP($A86,'NG-Jan-Bill'!$A$15:$X$96,24)</f>
        <v>0</v>
      </c>
      <c r="C86" s="45">
        <f>VLOOKUP($A86,'NG-Feb-Bill'!$A$15:$X$96,24)</f>
        <v>0</v>
      </c>
      <c r="D86" s="45">
        <f>VLOOKUP($A86,'NG_Mar-Bill'!$A$15:$X$96,24)</f>
        <v>0</v>
      </c>
      <c r="E86" s="45">
        <f>VLOOKUP($A86,'NG-Apr-Bill'!$A$15:$X$96,24)</f>
        <v>0</v>
      </c>
      <c r="F86" s="45">
        <f>VLOOKUP($A86,'NG-May-Bill'!$A$15:$X$96,24)</f>
        <v>0</v>
      </c>
      <c r="G86" s="45">
        <f>VLOOKUP($A86,'NG-Jun-Bill'!$A$15:$X$96,24)</f>
        <v>0</v>
      </c>
      <c r="H86" s="45">
        <f>VLOOKUP($A86,'NG-Jul-Bill'!$A$15:$X$96,24)</f>
        <v>0</v>
      </c>
      <c r="I86" s="45">
        <f>VLOOKUP($A86,'NG-Aug-Bill'!$A$15:$X$96,24)</f>
        <v>0</v>
      </c>
      <c r="J86" s="45">
        <f>VLOOKUP($A86,'NG-Sept-Bill'!$A$15:$X$96,24)</f>
        <v>0</v>
      </c>
      <c r="K86" s="45">
        <f>VLOOKUP($A86,'NG-Oct-Bill'!$A$15:$X$96,24)</f>
        <v>0</v>
      </c>
      <c r="L86" s="45">
        <f>VLOOKUP($A86,'NG-Nov-Bill'!$A$15:$X$96,24)</f>
        <v>0</v>
      </c>
      <c r="M86" s="45">
        <f>VLOOKUP($A86,'NG-Dec-Bill'!$A$15:$X$96,24)</f>
        <v>0</v>
      </c>
      <c r="O86" s="45">
        <f t="shared" si="1"/>
        <v>0</v>
      </c>
    </row>
    <row r="87" spans="1:15">
      <c r="A87" s="44">
        <v>8193819106</v>
      </c>
      <c r="B87" s="45">
        <f>VLOOKUP($A87,'NG-Jan-Bill'!$A$15:$X$96,24)</f>
        <v>719.28</v>
      </c>
      <c r="C87" s="45">
        <f>VLOOKUP($A87,'NG-Feb-Bill'!$A$15:$X$96,24)</f>
        <v>780.56</v>
      </c>
      <c r="D87" s="45">
        <f>VLOOKUP($A87,'NG_Mar-Bill'!$A$15:$X$96,24)</f>
        <v>549.45000000000005</v>
      </c>
      <c r="E87" s="45">
        <f>VLOOKUP($A87,'NG-Apr-Bill'!$A$15:$X$96,24)</f>
        <v>412.14</v>
      </c>
      <c r="F87" s="45">
        <f>VLOOKUP($A87,'NG-May-Bill'!$A$15:$X$96,24)</f>
        <v>132.13999999999999</v>
      </c>
      <c r="G87" s="45">
        <f>VLOOKUP($A87,'NG-Jun-Bill'!$A$15:$X$96,24)</f>
        <v>39.01</v>
      </c>
      <c r="H87" s="45">
        <f>VLOOKUP($A87,'NG-Jul-Bill'!$A$15:$X$96,24)</f>
        <v>25.82</v>
      </c>
      <c r="I87" s="45">
        <f>VLOOKUP($A87,'NG-Aug-Bill'!$A$15:$X$96,24)</f>
        <v>26.46</v>
      </c>
      <c r="J87" s="45">
        <f>VLOOKUP($A87,'NG-Sept-Bill'!$A$15:$X$96,24)</f>
        <v>27.27</v>
      </c>
      <c r="K87" s="45">
        <f>VLOOKUP($A87,'NG-Oct-Bill'!$A$15:$X$96,24)</f>
        <v>46.5</v>
      </c>
      <c r="L87" s="45">
        <f>VLOOKUP($A87,'NG-Nov-Bill'!$A$15:$X$96,24)</f>
        <v>209.39</v>
      </c>
      <c r="M87" s="45">
        <f>VLOOKUP($A87,'NG-Dec-Bill'!$A$15:$X$96,24)</f>
        <v>538.87</v>
      </c>
      <c r="O87" s="45">
        <f t="shared" si="1"/>
        <v>3506.89</v>
      </c>
    </row>
    <row r="88" spans="1:15">
      <c r="A88" s="44">
        <v>8714009102</v>
      </c>
      <c r="B88" s="45">
        <f>VLOOKUP($A88,'NG-Jan-Bill'!$A$15:$X$96,24)</f>
        <v>25.94</v>
      </c>
      <c r="C88" s="45">
        <f>VLOOKUP($A88,'NG-Feb-Bill'!$A$15:$X$96,24)</f>
        <v>25.38</v>
      </c>
      <c r="D88" s="45">
        <f>VLOOKUP($A88,'NG_Mar-Bill'!$A$15:$X$96,24)</f>
        <v>26.46</v>
      </c>
      <c r="E88" s="45">
        <f>VLOOKUP($A88,'NG-Apr-Bill'!$A$15:$X$96,24)</f>
        <v>25.52</v>
      </c>
      <c r="F88" s="45">
        <f>VLOOKUP($A88,'NG-May-Bill'!$A$15:$X$96,24)</f>
        <v>25.78</v>
      </c>
      <c r="G88" s="45">
        <f>VLOOKUP($A88,'NG-Jun-Bill'!$A$15:$X$96,24)</f>
        <v>29.97</v>
      </c>
      <c r="H88" s="45">
        <f>VLOOKUP($A88,'NG-Jul-Bill'!$A$15:$X$96,24)</f>
        <v>29.97</v>
      </c>
      <c r="I88" s="45">
        <f>VLOOKUP($A88,'NG-Aug-Bill'!$A$15:$X$96,24)</f>
        <v>27.45</v>
      </c>
      <c r="J88" s="45">
        <f>VLOOKUP($A88,'NG-Sept-Bill'!$A$15:$X$96,24)</f>
        <v>25.56</v>
      </c>
      <c r="K88" s="45">
        <f>VLOOKUP($A88,'NG-Oct-Bill'!$A$15:$X$96,24)</f>
        <v>27.02</v>
      </c>
      <c r="L88" s="45">
        <f>VLOOKUP($A88,'NG-Nov-Bill'!$A$15:$X$96,24)</f>
        <v>25.61</v>
      </c>
      <c r="M88" s="45">
        <f>VLOOKUP($A88,'NG-Dec-Bill'!$A$15:$X$96,24)</f>
        <v>26.5</v>
      </c>
      <c r="O88" s="45">
        <f t="shared" si="1"/>
        <v>321.15999999999997</v>
      </c>
    </row>
    <row r="89" spans="1:15">
      <c r="A89" s="44">
        <v>8993882105</v>
      </c>
      <c r="B89" s="45">
        <f>VLOOKUP($A89,'NG-Jan-Bill'!$A$15:$X$96,24)</f>
        <v>0</v>
      </c>
      <c r="C89" s="45">
        <f>VLOOKUP($A89,'NG-Feb-Bill'!$A$15:$X$96,24)</f>
        <v>0</v>
      </c>
      <c r="D89" s="45">
        <f>VLOOKUP($A89,'NG_Mar-Bill'!$A$15:$X$96,24)</f>
        <v>0</v>
      </c>
      <c r="E89" s="45">
        <f>VLOOKUP($A89,'NG-Apr-Bill'!$A$15:$X$96,24)</f>
        <v>0</v>
      </c>
      <c r="F89" s="45">
        <f>VLOOKUP($A89,'NG-May-Bill'!$A$15:$X$96,24)</f>
        <v>0</v>
      </c>
      <c r="G89" s="45">
        <f>VLOOKUP($A89,'NG-Jun-Bill'!$A$15:$X$96,24)</f>
        <v>0</v>
      </c>
      <c r="H89" s="45">
        <f>VLOOKUP($A89,'NG-Jul-Bill'!$A$15:$X$96,24)</f>
        <v>0</v>
      </c>
      <c r="I89" s="45">
        <f>VLOOKUP($A89,'NG-Aug-Bill'!$A$15:$X$96,24)</f>
        <v>0</v>
      </c>
      <c r="J89" s="45">
        <f>VLOOKUP($A89,'NG-Sept-Bill'!$A$15:$X$96,24)</f>
        <v>0</v>
      </c>
      <c r="K89" s="45">
        <f>VLOOKUP($A89,'NG-Oct-Bill'!$A$15:$X$96,24)</f>
        <v>0</v>
      </c>
      <c r="L89" s="45">
        <f>VLOOKUP($A89,'NG-Nov-Bill'!$A$15:$X$96,24)</f>
        <v>0</v>
      </c>
      <c r="M89" s="45">
        <f>VLOOKUP($A89,'NG-Dec-Bill'!$A$15:$X$96,24)</f>
        <v>0</v>
      </c>
      <c r="O89" s="45">
        <f t="shared" si="1"/>
        <v>0</v>
      </c>
    </row>
    <row r="90" spans="1:15">
      <c r="A90" s="44">
        <v>9308810101</v>
      </c>
      <c r="B90" s="45">
        <f>VLOOKUP($A90,'NG-Jan-Bill'!$A$15:$X$96,24)</f>
        <v>117.5</v>
      </c>
      <c r="C90" s="45">
        <f>VLOOKUP($A90,'NG-Feb-Bill'!$A$15:$X$96,24)</f>
        <v>134.75</v>
      </c>
      <c r="D90" s="45">
        <f>VLOOKUP($A90,'NG_Mar-Bill'!$A$15:$X$96,24)</f>
        <v>149.07</v>
      </c>
      <c r="E90" s="45">
        <f>VLOOKUP($A90,'NG-Apr-Bill'!$A$15:$X$96,24)</f>
        <v>109.96</v>
      </c>
      <c r="F90" s="45">
        <f>VLOOKUP($A90,'NG-May-Bill'!$A$15:$X$96,24)</f>
        <v>47.1</v>
      </c>
      <c r="G90" s="45">
        <f>VLOOKUP($A90,'NG-Jun-Bill'!$A$15:$X$96,24)</f>
        <v>27.36</v>
      </c>
      <c r="H90" s="45">
        <f>VLOOKUP($A90,'NG-Jul-Bill'!$A$15:$X$96,24)</f>
        <v>26.15</v>
      </c>
      <c r="I90" s="45">
        <f>VLOOKUP($A90,'NG-Aug-Bill'!$A$15:$X$96,24)</f>
        <v>26.46</v>
      </c>
      <c r="J90" s="45">
        <f>VLOOKUP($A90,'NG-Sept-Bill'!$A$15:$X$96,24)</f>
        <v>25.89</v>
      </c>
      <c r="K90" s="45">
        <f>VLOOKUP($A90,'NG-Oct-Bill'!$A$15:$X$96,24)</f>
        <v>30.64</v>
      </c>
      <c r="L90" s="45">
        <f>VLOOKUP($A90,'NG-Nov-Bill'!$A$15:$X$96,24)</f>
        <v>36.520000000000003</v>
      </c>
      <c r="M90" s="45">
        <f>VLOOKUP($A90,'NG-Dec-Bill'!$A$15:$X$96,24)</f>
        <v>85.41</v>
      </c>
      <c r="O90" s="45">
        <f t="shared" si="1"/>
        <v>816.81</v>
      </c>
    </row>
    <row r="91" spans="1:15">
      <c r="A91" s="44">
        <v>9428808118</v>
      </c>
      <c r="B91" s="45">
        <f>VLOOKUP($A91,'NG-Jan-Bill'!$A$15:$X$96,24)</f>
        <v>48.89</v>
      </c>
      <c r="C91" s="45">
        <f>VLOOKUP($A91,'NG-Feb-Bill'!$A$15:$X$96,24)</f>
        <v>71.790000000000006</v>
      </c>
      <c r="D91" s="45">
        <f>VLOOKUP($A91,'NG_Mar-Bill'!$A$15:$X$96,24)</f>
        <v>51.52</v>
      </c>
      <c r="E91" s="45">
        <f>VLOOKUP($A91,'NG-Apr-Bill'!$A$15:$X$96,24)</f>
        <v>18.54</v>
      </c>
      <c r="F91" s="45">
        <f>VLOOKUP($A91,'NG-May-Bill'!$A$15:$X$96,24)</f>
        <v>20.36</v>
      </c>
      <c r="G91" s="45">
        <f>VLOOKUP($A91,'NG-Jun-Bill'!$A$15:$X$96,24)</f>
        <v>20.36</v>
      </c>
      <c r="H91" s="45">
        <f>VLOOKUP($A91,'NG-Jul-Bill'!$A$15:$X$96,24)</f>
        <v>20.36</v>
      </c>
      <c r="I91" s="45">
        <f>VLOOKUP($A91,'NG-Aug-Bill'!$A$15:$X$96,24)</f>
        <v>20.36</v>
      </c>
      <c r="J91" s="45">
        <f>VLOOKUP($A91,'NG-Sept-Bill'!$A$15:$X$96,24)</f>
        <v>20.36</v>
      </c>
      <c r="K91" s="45">
        <f>VLOOKUP($A91,'NG-Oct-Bill'!$A$15:$X$96,24)</f>
        <v>20.36</v>
      </c>
      <c r="L91" s="45">
        <f>VLOOKUP($A91,'NG-Nov-Bill'!$A$15:$X$96,24)</f>
        <v>20.86</v>
      </c>
      <c r="M91" s="45">
        <f>VLOOKUP($A91,'NG-Dec-Bill'!$A$15:$X$96,24)</f>
        <v>21.9</v>
      </c>
      <c r="O91" s="45">
        <f t="shared" si="1"/>
        <v>355.66000000000008</v>
      </c>
    </row>
    <row r="92" spans="1:15">
      <c r="A92" s="44">
        <v>9488810107</v>
      </c>
      <c r="B92" s="45">
        <f>VLOOKUP($A92,'NG-Jan-Bill'!$A$15:$X$96,24)</f>
        <v>0</v>
      </c>
      <c r="C92" s="45">
        <f>VLOOKUP($A92,'NG-Feb-Bill'!$A$15:$X$96,24)</f>
        <v>0</v>
      </c>
      <c r="D92" s="45">
        <f>VLOOKUP($A92,'NG_Mar-Bill'!$A$15:$X$96,24)</f>
        <v>0</v>
      </c>
      <c r="E92" s="45">
        <f>VLOOKUP($A92,'NG-Apr-Bill'!$A$15:$X$96,24)</f>
        <v>0</v>
      </c>
      <c r="F92" s="45">
        <f>VLOOKUP($A92,'NG-May-Bill'!$A$15:$X$96,24)</f>
        <v>0</v>
      </c>
      <c r="G92" s="45">
        <f>VLOOKUP($A92,'NG-Jun-Bill'!$A$15:$X$96,24)</f>
        <v>0</v>
      </c>
      <c r="H92" s="45">
        <f>VLOOKUP($A92,'NG-Jul-Bill'!$A$15:$X$96,24)</f>
        <v>0</v>
      </c>
      <c r="I92" s="45">
        <f>VLOOKUP($A92,'NG-Aug-Bill'!$A$15:$X$96,24)</f>
        <v>0</v>
      </c>
      <c r="J92" s="45">
        <f>VLOOKUP($A92,'NG-Sept-Bill'!$A$15:$X$96,24)</f>
        <v>0</v>
      </c>
      <c r="K92" s="45">
        <f>VLOOKUP($A92,'NG-Oct-Bill'!$A$15:$X$96,24)</f>
        <v>0</v>
      </c>
      <c r="L92" s="45">
        <f>VLOOKUP($A92,'NG-Nov-Bill'!$A$15:$X$96,24)</f>
        <v>0</v>
      </c>
      <c r="M92" s="45">
        <f>VLOOKUP($A92,'NG-Dec-Bill'!$A$15:$X$96,24)</f>
        <v>0</v>
      </c>
      <c r="O92" s="45">
        <f t="shared" si="1"/>
        <v>0</v>
      </c>
    </row>
    <row r="93" spans="1:15">
      <c r="A93" s="44">
        <v>9529017113</v>
      </c>
      <c r="B93" s="45">
        <f>VLOOKUP($A93,'NG-Jan-Bill'!$A$15:$X$96,24)</f>
        <v>0</v>
      </c>
      <c r="C93" s="45">
        <f>VLOOKUP($A93,'NG-Feb-Bill'!$A$15:$X$96,24)</f>
        <v>0</v>
      </c>
      <c r="D93" s="45">
        <f>VLOOKUP($A93,'NG_Mar-Bill'!$A$15:$X$96,24)</f>
        <v>0</v>
      </c>
      <c r="E93" s="45">
        <f>VLOOKUP($A93,'NG-Apr-Bill'!$A$15:$X$96,24)</f>
        <v>0</v>
      </c>
      <c r="F93" s="45">
        <f>VLOOKUP($A93,'NG-May-Bill'!$A$15:$X$96,24)</f>
        <v>0</v>
      </c>
      <c r="G93" s="45">
        <f>VLOOKUP($A93,'NG-Jun-Bill'!$A$15:$X$96,24)</f>
        <v>0</v>
      </c>
      <c r="H93" s="45">
        <f>VLOOKUP($A93,'NG-Jul-Bill'!$A$15:$X$96,24)</f>
        <v>0</v>
      </c>
      <c r="I93" s="45">
        <f>VLOOKUP($A93,'NG-Aug-Bill'!$A$15:$X$96,24)</f>
        <v>0</v>
      </c>
      <c r="J93" s="45">
        <f>VLOOKUP($A93,'NG-Sept-Bill'!$A$15:$X$96,24)</f>
        <v>0</v>
      </c>
      <c r="K93" s="45">
        <f>VLOOKUP($A93,'NG-Oct-Bill'!$A$15:$X$96,24)</f>
        <v>0</v>
      </c>
      <c r="L93" s="45">
        <f>VLOOKUP($A93,'NG-Nov-Bill'!$A$15:$X$96,24)</f>
        <v>0</v>
      </c>
      <c r="M93" s="45">
        <f>VLOOKUP($A93,'NG-Dec-Bill'!$A$15:$X$96,24)</f>
        <v>0</v>
      </c>
      <c r="O93" s="45">
        <f t="shared" si="1"/>
        <v>0</v>
      </c>
    </row>
    <row r="94" spans="1:15">
      <c r="A94" s="44">
        <v>9753819107</v>
      </c>
      <c r="B94" s="45">
        <f>VLOOKUP($A94,'NG-Jan-Bill'!$A$15:$X$96,24)</f>
        <v>638.74</v>
      </c>
      <c r="C94" s="45">
        <f>VLOOKUP($A94,'NG-Feb-Bill'!$A$15:$X$96,24)</f>
        <v>740.57</v>
      </c>
      <c r="D94" s="45">
        <f>VLOOKUP($A94,'NG_Mar-Bill'!$A$15:$X$96,24)</f>
        <v>547.77</v>
      </c>
      <c r="E94" s="45">
        <f>VLOOKUP($A94,'NG-Apr-Bill'!$A$15:$X$96,24)</f>
        <v>426.65</v>
      </c>
      <c r="F94" s="45">
        <f>VLOOKUP($A94,'NG-May-Bill'!$A$15:$X$96,24)</f>
        <v>94.98</v>
      </c>
      <c r="G94" s="45">
        <f>VLOOKUP($A94,'NG-Jun-Bill'!$A$15:$X$96,24)</f>
        <v>24.17</v>
      </c>
      <c r="H94" s="45">
        <f>VLOOKUP($A94,'NG-Jul-Bill'!$A$15:$X$96,24)</f>
        <v>24.17</v>
      </c>
      <c r="I94" s="45">
        <f>VLOOKUP($A94,'NG-Aug-Bill'!$A$15:$X$96,24)</f>
        <v>24.17</v>
      </c>
      <c r="J94" s="45">
        <f>VLOOKUP($A94,'NG-Sept-Bill'!$A$15:$X$96,24)</f>
        <v>24.17</v>
      </c>
      <c r="K94" s="45">
        <f>VLOOKUP($A94,'NG-Oct-Bill'!$A$15:$X$96,24)</f>
        <v>24.17</v>
      </c>
      <c r="L94" s="45">
        <f>VLOOKUP($A94,'NG-Nov-Bill'!$A$15:$X$96,24)</f>
        <v>256.82</v>
      </c>
      <c r="M94" s="45">
        <f>VLOOKUP($A94,'NG-Dec-Bill'!$A$15:$X$96,24)</f>
        <v>524.28</v>
      </c>
      <c r="O94" s="45">
        <f t="shared" si="1"/>
        <v>3350.6600000000008</v>
      </c>
    </row>
    <row r="95" spans="1:15">
      <c r="A95" s="44">
        <v>9753820119</v>
      </c>
      <c r="B95" s="45">
        <f>VLOOKUP($A95,'NG-Jan-Bill'!$A$15:$X$96,24)</f>
        <v>0</v>
      </c>
      <c r="C95" s="45">
        <f>VLOOKUP($A95,'NG-Feb-Bill'!$A$15:$X$96,24)</f>
        <v>0</v>
      </c>
      <c r="D95" s="45">
        <f>VLOOKUP($A95,'NG_Mar-Bill'!$A$15:$X$96,24)</f>
        <v>0</v>
      </c>
      <c r="E95" s="45">
        <f>VLOOKUP($A95,'NG-Apr-Bill'!$A$15:$X$96,24)</f>
        <v>0</v>
      </c>
      <c r="F95" s="45">
        <f>VLOOKUP($A95,'NG-May-Bill'!$A$15:$X$96,24)</f>
        <v>0</v>
      </c>
      <c r="G95" s="45">
        <f>VLOOKUP($A95,'NG-Jun-Bill'!$A$15:$X$96,24)</f>
        <v>0</v>
      </c>
      <c r="H95" s="45">
        <f>VLOOKUP($A95,'NG-Jul-Bill'!$A$15:$X$96,24)</f>
        <v>0</v>
      </c>
      <c r="I95" s="45">
        <f>VLOOKUP($A95,'NG-Aug-Bill'!$A$15:$X$96,24)</f>
        <v>0</v>
      </c>
      <c r="J95" s="45">
        <f>VLOOKUP($A95,'NG-Sept-Bill'!$A$15:$X$96,24)</f>
        <v>0</v>
      </c>
      <c r="K95" s="45">
        <f>VLOOKUP($A95,'NG-Oct-Bill'!$A$15:$X$96,24)</f>
        <v>0</v>
      </c>
      <c r="L95" s="45">
        <f>VLOOKUP($A95,'NG-Nov-Bill'!$A$15:$X$96,24)</f>
        <v>0</v>
      </c>
      <c r="M95" s="45">
        <f>VLOOKUP($A95,'NG-Dec-Bill'!$A$15:$X$96,24)</f>
        <v>0</v>
      </c>
      <c r="O95" s="45">
        <f t="shared" si="1"/>
        <v>0</v>
      </c>
    </row>
    <row r="96" spans="1:15">
      <c r="A96" s="44">
        <v>9953820104</v>
      </c>
      <c r="B96" s="45">
        <f>VLOOKUP($A96,'NG-Jan-Bill'!$A$15:$X$96,24)</f>
        <v>0</v>
      </c>
      <c r="C96" s="45">
        <f>VLOOKUP($A96,'NG-Feb-Bill'!$A$15:$X$96,24)</f>
        <v>0</v>
      </c>
      <c r="D96" s="45">
        <f>VLOOKUP($A96,'NG_Mar-Bill'!$A$15:$X$96,24)</f>
        <v>0</v>
      </c>
      <c r="E96" s="45">
        <f>VLOOKUP($A96,'NG-Apr-Bill'!$A$15:$X$96,24)</f>
        <v>0</v>
      </c>
      <c r="F96" s="45">
        <f>VLOOKUP($A96,'NG-May-Bill'!$A$15:$X$96,24)</f>
        <v>0</v>
      </c>
      <c r="G96" s="45">
        <f>VLOOKUP($A96,'NG-Jun-Bill'!$A$15:$X$96,24)</f>
        <v>0</v>
      </c>
      <c r="H96" s="45">
        <f>VLOOKUP($A96,'NG-Jul-Bill'!$A$15:$X$96,24)</f>
        <v>0</v>
      </c>
      <c r="I96" s="45">
        <f>VLOOKUP($A96,'NG-Aug-Bill'!$A$15:$X$96,24)</f>
        <v>0</v>
      </c>
      <c r="J96" s="45">
        <f>VLOOKUP($A96,'NG-Sept-Bill'!$A$15:$X$96,24)</f>
        <v>0</v>
      </c>
      <c r="K96" s="45">
        <f>VLOOKUP($A96,'NG-Oct-Bill'!$A$15:$X$96,24)</f>
        <v>0</v>
      </c>
      <c r="L96" s="45">
        <f>VLOOKUP($A96,'NG-Nov-Bill'!$A$15:$X$96,24)</f>
        <v>0</v>
      </c>
      <c r="M96" s="45">
        <f>VLOOKUP($A96,'NG-Dec-Bill'!$A$15:$X$96,24)</f>
        <v>0</v>
      </c>
      <c r="O96" s="45">
        <f t="shared" si="1"/>
        <v>0</v>
      </c>
    </row>
    <row r="97" spans="1:15">
      <c r="A97" s="46"/>
      <c r="B97" s="45"/>
      <c r="C97" s="45"/>
      <c r="D97" s="45"/>
      <c r="E97" s="45"/>
      <c r="F97" s="45"/>
      <c r="G97" s="45"/>
      <c r="H97" s="45"/>
      <c r="I97" s="45"/>
      <c r="J97" s="45"/>
      <c r="K97" s="45"/>
      <c r="L97" s="45"/>
      <c r="M97" s="45"/>
    </row>
    <row r="98" spans="1:15" ht="15" thickBot="1">
      <c r="A98" s="47" t="s">
        <v>284</v>
      </c>
      <c r="B98" s="45">
        <f>SUM(B15:B96)</f>
        <v>4731.55</v>
      </c>
      <c r="C98" s="45">
        <f t="shared" ref="C98:M98" si="2">SUM(C15:C96)</f>
        <v>4822.1900000000005</v>
      </c>
      <c r="D98" s="45">
        <f t="shared" si="2"/>
        <v>3843.9500000000003</v>
      </c>
      <c r="E98" s="45">
        <f t="shared" si="2"/>
        <v>3027.37</v>
      </c>
      <c r="F98" s="45">
        <f t="shared" si="2"/>
        <v>1151.2499999999998</v>
      </c>
      <c r="G98" s="45">
        <f t="shared" si="2"/>
        <v>634.04</v>
      </c>
      <c r="H98" s="45">
        <f t="shared" si="2"/>
        <v>535.7299999999999</v>
      </c>
      <c r="I98" s="45">
        <f t="shared" si="2"/>
        <v>541.96999999999991</v>
      </c>
      <c r="J98" s="45">
        <f t="shared" si="2"/>
        <v>543.8599999999999</v>
      </c>
      <c r="K98" s="45">
        <f t="shared" si="2"/>
        <v>633.05999999999995</v>
      </c>
      <c r="L98" s="45">
        <f t="shared" si="2"/>
        <v>1696.6299999999994</v>
      </c>
      <c r="M98" s="45">
        <f t="shared" si="2"/>
        <v>3573.38</v>
      </c>
      <c r="O98" s="49">
        <f>SUM(O15:O97)</f>
        <v>25734.980000000003</v>
      </c>
    </row>
    <row r="99" spans="1:15">
      <c r="B99" s="45"/>
      <c r="C99" s="45"/>
      <c r="D99" s="45"/>
      <c r="E99" s="45"/>
      <c r="F99" s="45"/>
      <c r="G99" s="45"/>
      <c r="H99" s="45"/>
      <c r="I99" s="45"/>
      <c r="J99" s="45"/>
      <c r="K99" s="45"/>
      <c r="L99" s="45"/>
      <c r="M99" s="45"/>
    </row>
  </sheetData>
  <phoneticPr fontId="7" type="noConversion"/>
  <pageMargins left="0.75" right="0.75" top="1" bottom="1" header="0.5" footer="0.5"/>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M109"/>
  <sheetViews>
    <sheetView topLeftCell="A13" workbookViewId="0">
      <selection activeCell="D14" sqref="D14"/>
    </sheetView>
  </sheetViews>
  <sheetFormatPr baseColWidth="10" defaultColWidth="23.1640625" defaultRowHeight="14" x14ac:dyDescent="0"/>
  <cols>
    <col min="1" max="1" width="4.83203125" style="31" customWidth="1"/>
    <col min="2" max="2" width="15.5" style="31" customWidth="1"/>
    <col min="3" max="4" width="15.6640625" style="31" customWidth="1"/>
    <col min="5" max="5" width="15.33203125" style="85" customWidth="1"/>
    <col min="6" max="6" width="16" style="78" customWidth="1"/>
    <col min="7" max="7" width="13.33203125" style="78" customWidth="1"/>
    <col min="8" max="8" width="13.83203125" style="80" customWidth="1"/>
    <col min="9" max="9" width="16.5" style="78" customWidth="1"/>
    <col min="10" max="10" width="17.5" style="82" customWidth="1"/>
    <col min="11" max="11" width="15.5" style="80" customWidth="1"/>
    <col min="12" max="12" width="13.33203125" style="79" customWidth="1"/>
    <col min="13" max="13" width="14" style="87" customWidth="1"/>
    <col min="14" max="16384" width="23.1640625" style="31"/>
  </cols>
  <sheetData>
    <row r="13" spans="2:13" s="33" customFormat="1">
      <c r="B13" s="51" t="s">
        <v>355</v>
      </c>
      <c r="C13" s="51" t="s">
        <v>356</v>
      </c>
      <c r="D13" s="51" t="s">
        <v>357</v>
      </c>
      <c r="E13" s="52" t="s">
        <v>285</v>
      </c>
      <c r="F13" s="52" t="s">
        <v>463</v>
      </c>
      <c r="G13" s="53" t="s">
        <v>286</v>
      </c>
      <c r="H13" s="54" t="s">
        <v>287</v>
      </c>
      <c r="I13" s="55" t="s">
        <v>466</v>
      </c>
      <c r="J13" s="54" t="s">
        <v>288</v>
      </c>
      <c r="K13" s="56" t="s">
        <v>467</v>
      </c>
      <c r="L13" s="53" t="s">
        <v>468</v>
      </c>
      <c r="M13" s="57" t="s">
        <v>469</v>
      </c>
    </row>
    <row r="14" spans="2:13" s="33" customFormat="1">
      <c r="B14" s="58" t="s">
        <v>370</v>
      </c>
      <c r="C14" s="59" t="s">
        <v>370</v>
      </c>
      <c r="D14" s="729" t="s">
        <v>370</v>
      </c>
      <c r="E14" s="36" t="s">
        <v>370</v>
      </c>
      <c r="F14" s="61" t="s">
        <v>370</v>
      </c>
      <c r="G14" s="62" t="s">
        <v>370</v>
      </c>
      <c r="H14" s="63" t="s">
        <v>370</v>
      </c>
      <c r="I14" s="64" t="s">
        <v>370</v>
      </c>
      <c r="J14" s="63" t="s">
        <v>370</v>
      </c>
      <c r="K14" s="65" t="s">
        <v>370</v>
      </c>
      <c r="L14" s="63" t="s">
        <v>370</v>
      </c>
      <c r="M14" s="66" t="s">
        <v>370</v>
      </c>
    </row>
    <row r="15" spans="2:13">
      <c r="B15" s="67">
        <v>143027007</v>
      </c>
      <c r="C15" s="68">
        <v>143027007</v>
      </c>
      <c r="D15" s="68">
        <v>143027007</v>
      </c>
      <c r="E15" s="39">
        <v>143027007</v>
      </c>
      <c r="F15" s="69">
        <v>143027007</v>
      </c>
      <c r="G15" s="69">
        <v>143027007</v>
      </c>
      <c r="H15" s="69">
        <v>143027007</v>
      </c>
      <c r="I15" s="70">
        <v>143027007</v>
      </c>
      <c r="J15" s="69">
        <v>143027007</v>
      </c>
      <c r="K15" s="70">
        <v>143027007</v>
      </c>
      <c r="L15" s="69">
        <v>143027007</v>
      </c>
      <c r="M15" s="69">
        <v>143027007</v>
      </c>
    </row>
    <row r="16" spans="2:13">
      <c r="B16" s="67">
        <v>173880101</v>
      </c>
      <c r="C16" s="68">
        <v>173880101</v>
      </c>
      <c r="D16" s="68">
        <v>173880101</v>
      </c>
      <c r="E16" s="39">
        <v>173880101</v>
      </c>
      <c r="F16" s="69">
        <v>173880101</v>
      </c>
      <c r="G16" s="69">
        <v>173880101</v>
      </c>
      <c r="H16" s="69">
        <v>173880101</v>
      </c>
      <c r="I16" s="70">
        <v>173880101</v>
      </c>
      <c r="J16" s="69">
        <v>173880101</v>
      </c>
      <c r="K16" s="70">
        <v>173880101</v>
      </c>
      <c r="L16" s="69">
        <v>173880101</v>
      </c>
      <c r="M16" s="69">
        <v>173880101</v>
      </c>
    </row>
    <row r="17" spans="2:13">
      <c r="B17" s="67">
        <v>208811116</v>
      </c>
      <c r="C17" s="68">
        <v>208811116</v>
      </c>
      <c r="D17" s="68">
        <v>208811116</v>
      </c>
      <c r="E17" s="39">
        <v>208811116</v>
      </c>
      <c r="F17" s="69">
        <v>208811116</v>
      </c>
      <c r="G17" s="69">
        <v>208811116</v>
      </c>
      <c r="H17" s="69">
        <v>208811116</v>
      </c>
      <c r="I17" s="70">
        <v>208811116</v>
      </c>
      <c r="J17" s="69">
        <v>208811116</v>
      </c>
      <c r="K17" s="70">
        <v>208811116</v>
      </c>
      <c r="L17" s="69">
        <v>208811116</v>
      </c>
      <c r="M17" s="69">
        <v>208811116</v>
      </c>
    </row>
    <row r="18" spans="2:13">
      <c r="B18" s="67">
        <v>248811109</v>
      </c>
      <c r="C18" s="68">
        <v>248811109</v>
      </c>
      <c r="D18" s="68">
        <v>248811109</v>
      </c>
      <c r="E18" s="39">
        <v>248811109</v>
      </c>
      <c r="F18" s="69">
        <v>248811109</v>
      </c>
      <c r="G18" s="69">
        <v>248811109</v>
      </c>
      <c r="H18" s="69">
        <v>248811109</v>
      </c>
      <c r="I18" s="70">
        <v>248811109</v>
      </c>
      <c r="J18" s="69">
        <v>248811109</v>
      </c>
      <c r="K18" s="70">
        <v>248811109</v>
      </c>
      <c r="L18" s="69">
        <v>248811109</v>
      </c>
      <c r="M18" s="69">
        <v>248811109</v>
      </c>
    </row>
    <row r="19" spans="2:13">
      <c r="B19" s="67">
        <v>288811101</v>
      </c>
      <c r="C19" s="68">
        <v>288811101</v>
      </c>
      <c r="D19" s="68">
        <v>288811101</v>
      </c>
      <c r="E19" s="39">
        <v>288811101</v>
      </c>
      <c r="F19" s="69">
        <v>288811101</v>
      </c>
      <c r="G19" s="69">
        <v>288811101</v>
      </c>
      <c r="H19" s="69">
        <v>288811101</v>
      </c>
      <c r="I19" s="70">
        <v>288811101</v>
      </c>
      <c r="J19" s="69">
        <v>288811101</v>
      </c>
      <c r="K19" s="70">
        <v>288811101</v>
      </c>
      <c r="L19" s="69">
        <v>288811101</v>
      </c>
      <c r="M19" s="69">
        <v>288811101</v>
      </c>
    </row>
    <row r="20" spans="2:13">
      <c r="B20" s="67">
        <v>293879106</v>
      </c>
      <c r="C20" s="68">
        <v>293879106</v>
      </c>
      <c r="D20" s="68">
        <v>293879106</v>
      </c>
      <c r="E20" s="39">
        <v>293879106</v>
      </c>
      <c r="F20" s="69">
        <v>293879106</v>
      </c>
      <c r="G20" s="69">
        <v>293879106</v>
      </c>
      <c r="H20" s="69">
        <v>293879106</v>
      </c>
      <c r="I20" s="70">
        <v>293879106</v>
      </c>
      <c r="J20" s="69">
        <v>293879106</v>
      </c>
      <c r="K20" s="70">
        <v>293879106</v>
      </c>
      <c r="L20" s="69">
        <v>293879106</v>
      </c>
      <c r="M20" s="69">
        <v>293879106</v>
      </c>
    </row>
    <row r="21" spans="2:13">
      <c r="B21" s="67">
        <v>308809118</v>
      </c>
      <c r="C21" s="68">
        <v>308809118</v>
      </c>
      <c r="D21" s="68">
        <v>308809118</v>
      </c>
      <c r="E21" s="39">
        <v>308809118</v>
      </c>
      <c r="F21" s="69">
        <v>308809118</v>
      </c>
      <c r="G21" s="69">
        <v>308809118</v>
      </c>
      <c r="H21" s="69">
        <v>308809118</v>
      </c>
      <c r="I21" s="70">
        <v>308809118</v>
      </c>
      <c r="J21" s="69">
        <v>308809118</v>
      </c>
      <c r="K21" s="70">
        <v>308809118</v>
      </c>
      <c r="L21" s="69">
        <v>308809118</v>
      </c>
      <c r="M21" s="69">
        <v>308809118</v>
      </c>
    </row>
    <row r="22" spans="2:13">
      <c r="B22" s="67">
        <v>375074007</v>
      </c>
      <c r="C22" s="68">
        <v>375074007</v>
      </c>
      <c r="D22" s="68">
        <v>375074007</v>
      </c>
      <c r="E22" s="39">
        <v>375074007</v>
      </c>
      <c r="F22" s="69">
        <v>375074007</v>
      </c>
      <c r="G22" s="69">
        <v>375074007</v>
      </c>
      <c r="H22" s="69">
        <v>375074007</v>
      </c>
      <c r="I22" s="70">
        <v>375074007</v>
      </c>
      <c r="J22" s="69">
        <v>375074007</v>
      </c>
      <c r="K22" s="70">
        <v>375074007</v>
      </c>
      <c r="L22" s="69">
        <v>375074007</v>
      </c>
      <c r="M22" s="69">
        <v>375074007</v>
      </c>
    </row>
    <row r="23" spans="2:13">
      <c r="B23" s="67">
        <v>783104003</v>
      </c>
      <c r="C23" s="68">
        <v>783104003</v>
      </c>
      <c r="D23" s="68">
        <v>783104003</v>
      </c>
      <c r="E23" s="39">
        <v>783104003</v>
      </c>
      <c r="F23" s="69">
        <v>783104003</v>
      </c>
      <c r="G23" s="69">
        <v>783104003</v>
      </c>
      <c r="H23" s="69">
        <v>783104003</v>
      </c>
      <c r="I23" s="70">
        <v>783104003</v>
      </c>
      <c r="J23" s="69">
        <v>783104003</v>
      </c>
      <c r="K23" s="70">
        <v>783104003</v>
      </c>
      <c r="L23" s="69">
        <v>783104003</v>
      </c>
      <c r="M23" s="69">
        <v>783104003</v>
      </c>
    </row>
    <row r="24" spans="2:13">
      <c r="B24" s="67">
        <v>852028007</v>
      </c>
      <c r="C24" s="68">
        <v>852028007</v>
      </c>
      <c r="D24" s="68">
        <v>852028007</v>
      </c>
      <c r="E24" s="39">
        <v>852028007</v>
      </c>
      <c r="F24" s="69">
        <v>852028007</v>
      </c>
      <c r="G24" s="69">
        <v>852028007</v>
      </c>
      <c r="H24" s="69">
        <v>852028007</v>
      </c>
      <c r="I24" s="70">
        <v>852028007</v>
      </c>
      <c r="J24" s="69">
        <v>852028007</v>
      </c>
      <c r="K24" s="70">
        <v>852028007</v>
      </c>
      <c r="L24" s="69">
        <v>852028007</v>
      </c>
      <c r="M24" s="69">
        <v>852028007</v>
      </c>
    </row>
    <row r="25" spans="2:13">
      <c r="B25" s="67">
        <v>893816110</v>
      </c>
      <c r="C25" s="68">
        <v>893816110</v>
      </c>
      <c r="D25" s="68">
        <v>893816110</v>
      </c>
      <c r="E25" s="39">
        <v>893816110</v>
      </c>
      <c r="F25" s="69">
        <v>893816110</v>
      </c>
      <c r="G25" s="69">
        <v>893816110</v>
      </c>
      <c r="H25" s="69">
        <v>893816110</v>
      </c>
      <c r="I25" s="70">
        <v>893816110</v>
      </c>
      <c r="J25" s="69">
        <v>893816110</v>
      </c>
      <c r="K25" s="70">
        <v>893816110</v>
      </c>
      <c r="L25" s="69">
        <v>893816110</v>
      </c>
      <c r="M25" s="69">
        <v>893816110</v>
      </c>
    </row>
    <row r="26" spans="2:13">
      <c r="B26" s="67">
        <v>893819102</v>
      </c>
      <c r="C26" s="68">
        <v>893819102</v>
      </c>
      <c r="D26" s="68">
        <v>893819102</v>
      </c>
      <c r="E26" s="39">
        <v>893819102</v>
      </c>
      <c r="F26" s="69">
        <v>893819102</v>
      </c>
      <c r="G26" s="69">
        <v>893819102</v>
      </c>
      <c r="H26" s="69">
        <v>893819102</v>
      </c>
      <c r="I26" s="70">
        <v>893819102</v>
      </c>
      <c r="J26" s="69">
        <v>893819102</v>
      </c>
      <c r="K26" s="70">
        <v>893819102</v>
      </c>
      <c r="L26" s="69">
        <v>893819102</v>
      </c>
      <c r="M26" s="69">
        <v>893819102</v>
      </c>
    </row>
    <row r="27" spans="2:13">
      <c r="B27" s="67">
        <v>913819100</v>
      </c>
      <c r="C27" s="68">
        <v>913819100</v>
      </c>
      <c r="D27" s="68">
        <v>913819100</v>
      </c>
      <c r="E27" s="39">
        <v>913819100</v>
      </c>
      <c r="F27" s="69">
        <v>913819100</v>
      </c>
      <c r="G27" s="69">
        <v>913819100</v>
      </c>
      <c r="H27" s="69">
        <v>913819100</v>
      </c>
      <c r="I27" s="70">
        <v>913819100</v>
      </c>
      <c r="J27" s="69">
        <v>913819100</v>
      </c>
      <c r="K27" s="70">
        <v>913819100</v>
      </c>
      <c r="L27" s="69">
        <v>913819100</v>
      </c>
      <c r="M27" s="69">
        <v>913819100</v>
      </c>
    </row>
    <row r="28" spans="2:13">
      <c r="B28" s="67">
        <v>933819115</v>
      </c>
      <c r="C28" s="68">
        <v>933819115</v>
      </c>
      <c r="D28" s="68">
        <v>933819115</v>
      </c>
      <c r="E28" s="39">
        <v>933819115</v>
      </c>
      <c r="F28" s="69">
        <v>933819115</v>
      </c>
      <c r="G28" s="69">
        <v>933819115</v>
      </c>
      <c r="H28" s="69">
        <v>933819115</v>
      </c>
      <c r="I28" s="70">
        <v>933819115</v>
      </c>
      <c r="J28" s="69">
        <v>933819115</v>
      </c>
      <c r="K28" s="70">
        <v>933819115</v>
      </c>
      <c r="L28" s="69">
        <v>933819115</v>
      </c>
      <c r="M28" s="69">
        <v>933819115</v>
      </c>
    </row>
    <row r="29" spans="2:13">
      <c r="B29" s="67">
        <v>948810124</v>
      </c>
      <c r="C29" s="68">
        <v>948810124</v>
      </c>
      <c r="D29" s="68">
        <v>948810124</v>
      </c>
      <c r="E29" s="39">
        <v>948810124</v>
      </c>
      <c r="F29" s="69">
        <v>948810124</v>
      </c>
      <c r="G29" s="69">
        <v>948810124</v>
      </c>
      <c r="H29" s="69">
        <v>948810124</v>
      </c>
      <c r="I29" s="70">
        <v>948810124</v>
      </c>
      <c r="J29" s="69">
        <v>948810124</v>
      </c>
      <c r="K29" s="70">
        <v>948810124</v>
      </c>
      <c r="L29" s="69">
        <v>948810124</v>
      </c>
      <c r="M29" s="69">
        <v>948810124</v>
      </c>
    </row>
    <row r="30" spans="2:13">
      <c r="B30" s="71">
        <v>1028809119</v>
      </c>
      <c r="C30" s="72">
        <v>1028809119</v>
      </c>
      <c r="D30" s="72">
        <v>1028809119</v>
      </c>
      <c r="E30" s="40">
        <v>1028809119</v>
      </c>
      <c r="F30" s="73">
        <v>1028809119</v>
      </c>
      <c r="G30" s="73">
        <v>1028809119</v>
      </c>
      <c r="H30" s="73">
        <v>1028809119</v>
      </c>
      <c r="I30" s="74">
        <v>1028809119</v>
      </c>
      <c r="J30" s="73">
        <v>1028809119</v>
      </c>
      <c r="K30" s="70">
        <v>1028809119</v>
      </c>
      <c r="L30" s="73">
        <v>1028809119</v>
      </c>
      <c r="M30" s="73">
        <v>1028809119</v>
      </c>
    </row>
    <row r="31" spans="2:13">
      <c r="B31" s="71">
        <v>1133133008</v>
      </c>
      <c r="C31" s="72">
        <v>1133133008</v>
      </c>
      <c r="D31" s="72">
        <v>1133133008</v>
      </c>
      <c r="E31" s="40">
        <v>1133133008</v>
      </c>
      <c r="F31" s="73">
        <v>1133133008</v>
      </c>
      <c r="G31" s="73">
        <v>1133133008</v>
      </c>
      <c r="H31" s="73">
        <v>1133133008</v>
      </c>
      <c r="I31" s="74">
        <v>1133133008</v>
      </c>
      <c r="J31" s="73">
        <v>1133133008</v>
      </c>
      <c r="K31" s="70">
        <v>1133133008</v>
      </c>
      <c r="L31" s="73">
        <v>1133133008</v>
      </c>
      <c r="M31" s="73">
        <v>1133133008</v>
      </c>
    </row>
    <row r="32" spans="2:13">
      <c r="B32" s="71">
        <v>1133819101</v>
      </c>
      <c r="C32" s="72">
        <v>1133819101</v>
      </c>
      <c r="D32" s="72">
        <v>1133819101</v>
      </c>
      <c r="E32" s="40">
        <v>1133819101</v>
      </c>
      <c r="F32" s="73">
        <v>1133819101</v>
      </c>
      <c r="G32" s="73">
        <v>1133819101</v>
      </c>
      <c r="H32" s="73">
        <v>1133819101</v>
      </c>
      <c r="I32" s="74">
        <v>1133819101</v>
      </c>
      <c r="J32" s="73">
        <v>1133819101</v>
      </c>
      <c r="K32" s="70">
        <v>1133819101</v>
      </c>
      <c r="L32" s="73">
        <v>1133819101</v>
      </c>
      <c r="M32" s="73">
        <v>1133819101</v>
      </c>
    </row>
    <row r="33" spans="2:13">
      <c r="B33" s="71">
        <v>1193808115</v>
      </c>
      <c r="C33" s="72">
        <v>1193808115</v>
      </c>
      <c r="D33" s="72">
        <v>1193808115</v>
      </c>
      <c r="E33" s="40">
        <v>1193808115</v>
      </c>
      <c r="F33" s="73">
        <v>1193808115</v>
      </c>
      <c r="G33" s="73">
        <v>1193808115</v>
      </c>
      <c r="H33" s="73">
        <v>1193808115</v>
      </c>
      <c r="I33" s="74">
        <v>1193808115</v>
      </c>
      <c r="J33" s="73">
        <v>1193808115</v>
      </c>
      <c r="K33" s="70">
        <v>1193808115</v>
      </c>
      <c r="L33" s="73">
        <v>1193808115</v>
      </c>
      <c r="M33" s="73">
        <v>1193808115</v>
      </c>
    </row>
    <row r="34" spans="2:13">
      <c r="B34" s="71">
        <v>1492627005</v>
      </c>
      <c r="C34" s="72">
        <v>1492627005</v>
      </c>
      <c r="D34" s="72">
        <v>1492627005</v>
      </c>
      <c r="E34" s="40">
        <v>1492627005</v>
      </c>
      <c r="F34" s="73">
        <v>1492627005</v>
      </c>
      <c r="G34" s="73">
        <v>1492627005</v>
      </c>
      <c r="H34" s="73">
        <v>1492627005</v>
      </c>
      <c r="I34" s="74">
        <v>1492627005</v>
      </c>
      <c r="J34" s="73">
        <v>1492627005</v>
      </c>
      <c r="K34" s="70">
        <v>1492627005</v>
      </c>
      <c r="L34" s="73">
        <v>1492627005</v>
      </c>
      <c r="M34" s="73">
        <v>1492627005</v>
      </c>
    </row>
    <row r="35" spans="2:13">
      <c r="B35" s="71">
        <v>1513818115</v>
      </c>
      <c r="C35" s="72">
        <v>1513818115</v>
      </c>
      <c r="D35" s="72">
        <v>1513818115</v>
      </c>
      <c r="E35" s="40">
        <v>1513818115</v>
      </c>
      <c r="F35" s="73">
        <v>1513818115</v>
      </c>
      <c r="G35" s="73">
        <v>1513818115</v>
      </c>
      <c r="H35" s="73">
        <v>1513818115</v>
      </c>
      <c r="I35" s="74">
        <v>1513818115</v>
      </c>
      <c r="J35" s="73">
        <v>1513818115</v>
      </c>
      <c r="K35" s="70">
        <v>1513818115</v>
      </c>
      <c r="L35" s="73">
        <v>1513818115</v>
      </c>
      <c r="M35" s="73">
        <v>1513818115</v>
      </c>
    </row>
    <row r="36" spans="2:13">
      <c r="B36" s="71">
        <v>1608811106</v>
      </c>
      <c r="C36" s="72">
        <v>1608811106</v>
      </c>
      <c r="D36" s="72">
        <v>1608811106</v>
      </c>
      <c r="E36" s="40">
        <v>1608811106</v>
      </c>
      <c r="F36" s="73">
        <v>1608811106</v>
      </c>
      <c r="G36" s="73">
        <v>1608811106</v>
      </c>
      <c r="H36" s="73">
        <v>1608811106</v>
      </c>
      <c r="I36" s="74">
        <v>1608811106</v>
      </c>
      <c r="J36" s="73">
        <v>1608811106</v>
      </c>
      <c r="K36" s="70">
        <v>1608811106</v>
      </c>
      <c r="L36" s="73">
        <v>1608811106</v>
      </c>
      <c r="M36" s="73">
        <v>1608811106</v>
      </c>
    </row>
    <row r="37" spans="2:13">
      <c r="B37" s="71">
        <v>1653819107</v>
      </c>
      <c r="C37" s="72">
        <v>1653819107</v>
      </c>
      <c r="D37" s="72">
        <v>1653819107</v>
      </c>
      <c r="E37" s="40">
        <v>1653819107</v>
      </c>
      <c r="F37" s="73">
        <v>1653819107</v>
      </c>
      <c r="G37" s="73">
        <v>1653819107</v>
      </c>
      <c r="H37" s="73">
        <v>1653819107</v>
      </c>
      <c r="I37" s="75">
        <v>1653819107</v>
      </c>
      <c r="J37" s="73">
        <v>1653819107</v>
      </c>
      <c r="K37" s="70">
        <v>1653819107</v>
      </c>
      <c r="L37" s="73">
        <v>1653819107</v>
      </c>
      <c r="M37" s="73">
        <v>1653819107</v>
      </c>
    </row>
    <row r="38" spans="2:13">
      <c r="B38" s="71">
        <v>1833820108</v>
      </c>
      <c r="C38" s="72">
        <v>1833820108</v>
      </c>
      <c r="D38" s="72">
        <v>1833820108</v>
      </c>
      <c r="E38" s="40">
        <v>1833820108</v>
      </c>
      <c r="F38" s="73">
        <v>1833820108</v>
      </c>
      <c r="G38" s="73">
        <v>1833820108</v>
      </c>
      <c r="H38" s="73">
        <v>1833820108</v>
      </c>
      <c r="I38" s="75">
        <v>1833820108</v>
      </c>
      <c r="J38" s="73">
        <v>1833820108</v>
      </c>
      <c r="K38" s="70">
        <v>1833820108</v>
      </c>
      <c r="L38" s="73">
        <v>1833820108</v>
      </c>
      <c r="M38" s="73">
        <v>1833820108</v>
      </c>
    </row>
    <row r="39" spans="2:13">
      <c r="B39" s="71">
        <v>1851009009</v>
      </c>
      <c r="C39" s="72">
        <v>1851009009</v>
      </c>
      <c r="D39" s="72">
        <v>1851009009</v>
      </c>
      <c r="E39" s="40">
        <v>1851009009</v>
      </c>
      <c r="F39" s="73">
        <v>1851009009</v>
      </c>
      <c r="G39" s="73">
        <v>1851009009</v>
      </c>
      <c r="H39" s="73">
        <v>1851009009</v>
      </c>
      <c r="I39" s="75">
        <v>1851009009</v>
      </c>
      <c r="J39" s="73">
        <v>1851009009</v>
      </c>
      <c r="K39" s="70">
        <v>1851009009</v>
      </c>
      <c r="L39" s="73">
        <v>1851009009</v>
      </c>
      <c r="M39" s="73">
        <v>1851009009</v>
      </c>
    </row>
    <row r="40" spans="2:13">
      <c r="B40" s="71">
        <v>1933810131</v>
      </c>
      <c r="C40" s="72">
        <v>1933810131</v>
      </c>
      <c r="D40" s="72">
        <v>1933810131</v>
      </c>
      <c r="E40" s="40">
        <v>1933810131</v>
      </c>
      <c r="F40" s="73">
        <v>1933810131</v>
      </c>
      <c r="G40" s="73">
        <v>1933810131</v>
      </c>
      <c r="H40" s="73">
        <v>1933810131</v>
      </c>
      <c r="I40" s="75">
        <v>1933810131</v>
      </c>
      <c r="J40" s="73">
        <v>1933810131</v>
      </c>
      <c r="K40" s="70">
        <v>1933810131</v>
      </c>
      <c r="L40" s="73">
        <v>1933810131</v>
      </c>
      <c r="M40" s="73">
        <v>1933810131</v>
      </c>
    </row>
    <row r="41" spans="2:13">
      <c r="B41" s="71">
        <v>2133819102</v>
      </c>
      <c r="C41" s="72">
        <v>2133819102</v>
      </c>
      <c r="D41" s="72">
        <v>2133819102</v>
      </c>
      <c r="E41" s="40">
        <v>2133819102</v>
      </c>
      <c r="F41" s="73">
        <v>2133819102</v>
      </c>
      <c r="G41" s="73">
        <v>2133819102</v>
      </c>
      <c r="H41" s="73">
        <v>2133819102</v>
      </c>
      <c r="I41" s="75">
        <v>2133819102</v>
      </c>
      <c r="J41" s="73">
        <v>2133819102</v>
      </c>
      <c r="K41" s="70">
        <v>2133819102</v>
      </c>
      <c r="L41" s="73">
        <v>2133819102</v>
      </c>
      <c r="M41" s="73">
        <v>2133819102</v>
      </c>
    </row>
    <row r="42" spans="2:13">
      <c r="B42" s="71">
        <v>2133821120</v>
      </c>
      <c r="C42" s="72">
        <v>2133821120</v>
      </c>
      <c r="D42" s="72">
        <v>2133821120</v>
      </c>
      <c r="E42" s="40">
        <v>2133821120</v>
      </c>
      <c r="F42" s="73">
        <v>2133821120</v>
      </c>
      <c r="G42" s="73">
        <v>2133821120</v>
      </c>
      <c r="H42" s="73">
        <v>2133821120</v>
      </c>
      <c r="I42" s="75">
        <v>2133821120</v>
      </c>
      <c r="J42" s="73">
        <v>2133821120</v>
      </c>
      <c r="K42" s="70">
        <v>2133821120</v>
      </c>
      <c r="L42" s="73">
        <v>2133821120</v>
      </c>
      <c r="M42" s="73">
        <v>2133821120</v>
      </c>
    </row>
    <row r="43" spans="2:13">
      <c r="B43" s="71">
        <v>2137454018</v>
      </c>
      <c r="C43" s="72">
        <v>2137454018</v>
      </c>
      <c r="D43" s="72">
        <v>2137454018</v>
      </c>
      <c r="E43" s="40">
        <v>2137454018</v>
      </c>
      <c r="F43" s="73">
        <v>2137454018</v>
      </c>
      <c r="G43" s="73">
        <v>2137454018</v>
      </c>
      <c r="H43" s="73">
        <v>2137454018</v>
      </c>
      <c r="I43" s="75">
        <v>2137454018</v>
      </c>
      <c r="J43" s="73">
        <v>2137454018</v>
      </c>
      <c r="K43" s="70">
        <v>2137454018</v>
      </c>
      <c r="L43" s="73">
        <v>2137454018</v>
      </c>
      <c r="M43" s="73">
        <v>2137454018</v>
      </c>
    </row>
    <row r="44" spans="2:13">
      <c r="B44" s="71">
        <v>2217686007</v>
      </c>
      <c r="C44" s="72">
        <v>2217686007</v>
      </c>
      <c r="D44" s="72">
        <v>2217686007</v>
      </c>
      <c r="E44" s="40">
        <v>2217686007</v>
      </c>
      <c r="F44" s="73">
        <v>2217686007</v>
      </c>
      <c r="G44" s="73">
        <v>2217686007</v>
      </c>
      <c r="H44" s="73">
        <v>2217686007</v>
      </c>
      <c r="I44" s="75">
        <v>2217686007</v>
      </c>
      <c r="J44" s="73">
        <v>2217686007</v>
      </c>
      <c r="K44" s="70">
        <v>2217686007</v>
      </c>
      <c r="L44" s="73">
        <v>2217686007</v>
      </c>
      <c r="M44" s="73">
        <v>2217686007</v>
      </c>
    </row>
    <row r="45" spans="2:13">
      <c r="B45" s="71">
        <v>2480127108</v>
      </c>
      <c r="C45" s="72">
        <v>2480127108</v>
      </c>
      <c r="D45" s="72">
        <v>2480127108</v>
      </c>
      <c r="E45" s="40">
        <v>2480127108</v>
      </c>
      <c r="F45" s="73">
        <v>2480127108</v>
      </c>
      <c r="G45" s="73">
        <v>2480127108</v>
      </c>
      <c r="H45" s="73">
        <v>2480127108</v>
      </c>
      <c r="I45" s="75">
        <v>2480127108</v>
      </c>
      <c r="J45" s="73">
        <v>2480127108</v>
      </c>
      <c r="K45" s="70">
        <v>2480127108</v>
      </c>
      <c r="L45" s="73">
        <v>2480127108</v>
      </c>
      <c r="M45" s="73">
        <v>2480127108</v>
      </c>
    </row>
    <row r="46" spans="2:13">
      <c r="B46" s="71">
        <v>2533809113</v>
      </c>
      <c r="C46" s="72">
        <v>2533809113</v>
      </c>
      <c r="D46" s="72">
        <v>2533809113</v>
      </c>
      <c r="E46" s="40">
        <v>2533809113</v>
      </c>
      <c r="F46" s="73">
        <v>2533809113</v>
      </c>
      <c r="G46" s="73">
        <v>2533809113</v>
      </c>
      <c r="H46" s="73">
        <v>2533809113</v>
      </c>
      <c r="I46" s="75">
        <v>2533809113</v>
      </c>
      <c r="J46" s="73">
        <v>2533809113</v>
      </c>
      <c r="K46" s="70">
        <v>2533809113</v>
      </c>
      <c r="L46" s="73">
        <v>2533809113</v>
      </c>
      <c r="M46" s="73">
        <v>2533809113</v>
      </c>
    </row>
    <row r="47" spans="2:13">
      <c r="B47" s="71">
        <v>2693810107</v>
      </c>
      <c r="C47" s="72">
        <v>2693810107</v>
      </c>
      <c r="D47" s="72">
        <v>2693810107</v>
      </c>
      <c r="E47" s="40">
        <v>2693810107</v>
      </c>
      <c r="F47" s="73">
        <v>2693810107</v>
      </c>
      <c r="G47" s="73">
        <v>2693810107</v>
      </c>
      <c r="H47" s="73">
        <v>2693810107</v>
      </c>
      <c r="I47" s="75">
        <v>2693810107</v>
      </c>
      <c r="J47" s="73">
        <v>2693810107</v>
      </c>
      <c r="K47" s="70">
        <v>2693810107</v>
      </c>
      <c r="L47" s="73">
        <v>2693810107</v>
      </c>
      <c r="M47" s="73">
        <v>2693810107</v>
      </c>
    </row>
    <row r="48" spans="2:13">
      <c r="B48" s="71">
        <v>2703112003</v>
      </c>
      <c r="C48" s="72">
        <v>2703112003</v>
      </c>
      <c r="D48" s="72">
        <v>2703112003</v>
      </c>
      <c r="E48" s="40">
        <v>2703112003</v>
      </c>
      <c r="F48" s="73">
        <v>2703112003</v>
      </c>
      <c r="G48" s="73">
        <v>2703112003</v>
      </c>
      <c r="H48" s="73">
        <v>2703112003</v>
      </c>
      <c r="I48" s="75">
        <v>2703112003</v>
      </c>
      <c r="J48" s="73">
        <v>2703112003</v>
      </c>
      <c r="K48" s="70">
        <v>2703112003</v>
      </c>
      <c r="L48" s="73">
        <v>2703112003</v>
      </c>
      <c r="M48" s="73">
        <v>2703112003</v>
      </c>
    </row>
    <row r="49" spans="2:13">
      <c r="B49" s="71">
        <v>2773821106</v>
      </c>
      <c r="C49" s="72">
        <v>2773821106</v>
      </c>
      <c r="D49" s="72">
        <v>2773821106</v>
      </c>
      <c r="E49" s="40">
        <v>2773821106</v>
      </c>
      <c r="F49" s="73">
        <v>2773821106</v>
      </c>
      <c r="G49" s="73">
        <v>2773821106</v>
      </c>
      <c r="H49" s="73">
        <v>2773821106</v>
      </c>
      <c r="I49" s="75">
        <v>2773821106</v>
      </c>
      <c r="J49" s="73">
        <v>2773821106</v>
      </c>
      <c r="K49" s="70">
        <v>2773821106</v>
      </c>
      <c r="L49" s="73">
        <v>2773821106</v>
      </c>
      <c r="M49" s="73">
        <v>2773821106</v>
      </c>
    </row>
    <row r="50" spans="2:13">
      <c r="B50" s="71">
        <v>2856106004</v>
      </c>
      <c r="C50" s="72">
        <v>2856106004</v>
      </c>
      <c r="D50" s="72">
        <v>2856106004</v>
      </c>
      <c r="E50" s="40">
        <v>2856106004</v>
      </c>
      <c r="F50" s="73">
        <v>2856106004</v>
      </c>
      <c r="G50" s="73">
        <v>2856106004</v>
      </c>
      <c r="H50" s="73">
        <v>2856106004</v>
      </c>
      <c r="I50" s="75">
        <v>2856106004</v>
      </c>
      <c r="J50" s="73">
        <v>2856106004</v>
      </c>
      <c r="K50" s="70">
        <v>2856106004</v>
      </c>
      <c r="L50" s="73">
        <v>2856106004</v>
      </c>
      <c r="M50" s="73">
        <v>2856106004</v>
      </c>
    </row>
    <row r="51" spans="2:13">
      <c r="B51" s="71">
        <v>2860127100</v>
      </c>
      <c r="C51" s="72">
        <v>2860127100</v>
      </c>
      <c r="D51" s="72">
        <v>2860127100</v>
      </c>
      <c r="E51" s="40">
        <v>2860127100</v>
      </c>
      <c r="F51" s="73">
        <v>2860127100</v>
      </c>
      <c r="G51" s="73">
        <v>2860127100</v>
      </c>
      <c r="H51" s="73">
        <v>2860127100</v>
      </c>
      <c r="I51" s="75">
        <v>2860127100</v>
      </c>
      <c r="J51" s="73">
        <v>2860127100</v>
      </c>
      <c r="K51" s="70">
        <v>2860127100</v>
      </c>
      <c r="L51" s="73">
        <v>2860127100</v>
      </c>
      <c r="M51" s="73">
        <v>2860127100</v>
      </c>
    </row>
    <row r="52" spans="2:13">
      <c r="B52" s="71">
        <v>3040127109</v>
      </c>
      <c r="C52" s="72">
        <v>3040127109</v>
      </c>
      <c r="D52" s="72">
        <v>3040127109</v>
      </c>
      <c r="E52" s="40">
        <v>3040127109</v>
      </c>
      <c r="F52" s="73">
        <v>3040127109</v>
      </c>
      <c r="G52" s="73">
        <v>3040127109</v>
      </c>
      <c r="H52" s="73">
        <v>3040127109</v>
      </c>
      <c r="I52" s="75">
        <v>3040127109</v>
      </c>
      <c r="J52" s="73">
        <v>3040127109</v>
      </c>
      <c r="K52" s="70">
        <v>3040127109</v>
      </c>
      <c r="L52" s="73">
        <v>3040127109</v>
      </c>
      <c r="M52" s="73">
        <v>3040127109</v>
      </c>
    </row>
    <row r="53" spans="2:13">
      <c r="B53" s="71">
        <v>3128810107</v>
      </c>
      <c r="C53" s="72">
        <v>3128810107</v>
      </c>
      <c r="D53" s="72">
        <v>3128810107</v>
      </c>
      <c r="E53" s="40">
        <v>3128810107</v>
      </c>
      <c r="F53" s="73">
        <v>3128810107</v>
      </c>
      <c r="G53" s="73">
        <v>3128810107</v>
      </c>
      <c r="H53" s="73">
        <v>3128810107</v>
      </c>
      <c r="I53" s="75">
        <v>3128810107</v>
      </c>
      <c r="J53" s="73">
        <v>3128810107</v>
      </c>
      <c r="K53" s="70">
        <v>3128810107</v>
      </c>
      <c r="L53" s="73">
        <v>3128810107</v>
      </c>
      <c r="M53" s="73">
        <v>3128810107</v>
      </c>
    </row>
    <row r="54" spans="2:13">
      <c r="B54" s="71">
        <v>3195056004</v>
      </c>
      <c r="C54" s="72">
        <v>3195056004</v>
      </c>
      <c r="D54" s="72">
        <v>3195056004</v>
      </c>
      <c r="E54" s="40">
        <v>3195056004</v>
      </c>
      <c r="F54" s="73">
        <v>3195056004</v>
      </c>
      <c r="G54" s="73">
        <v>3195056004</v>
      </c>
      <c r="H54" s="73">
        <v>3195056004</v>
      </c>
      <c r="I54" s="75">
        <v>3195056004</v>
      </c>
      <c r="J54" s="73">
        <v>3195056004</v>
      </c>
      <c r="K54" s="70">
        <v>3195056004</v>
      </c>
      <c r="L54" s="73">
        <v>3195056004</v>
      </c>
      <c r="M54" s="73">
        <v>3195056004</v>
      </c>
    </row>
    <row r="55" spans="2:13">
      <c r="B55" s="71">
        <v>3273812135</v>
      </c>
      <c r="C55" s="72">
        <v>3273812135</v>
      </c>
      <c r="D55" s="72">
        <v>3273812135</v>
      </c>
      <c r="E55" s="40">
        <v>3273812135</v>
      </c>
      <c r="F55" s="73">
        <v>3273812135</v>
      </c>
      <c r="G55" s="73">
        <v>3273812135</v>
      </c>
      <c r="H55" s="73">
        <v>3273812135</v>
      </c>
      <c r="I55" s="75">
        <v>3273812135</v>
      </c>
      <c r="J55" s="73">
        <v>3273812135</v>
      </c>
      <c r="K55" s="70">
        <v>3273812135</v>
      </c>
      <c r="L55" s="73">
        <v>3273812135</v>
      </c>
      <c r="M55" s="73">
        <v>3273812135</v>
      </c>
    </row>
    <row r="56" spans="2:13">
      <c r="B56" s="71">
        <v>3293820115</v>
      </c>
      <c r="C56" s="72">
        <v>3293820115</v>
      </c>
      <c r="D56" s="72">
        <v>3293820115</v>
      </c>
      <c r="E56" s="40">
        <v>3293820115</v>
      </c>
      <c r="F56" s="73">
        <v>3293820115</v>
      </c>
      <c r="G56" s="73">
        <v>3293820115</v>
      </c>
      <c r="H56" s="73">
        <v>3293820115</v>
      </c>
      <c r="I56" s="75">
        <v>3293820115</v>
      </c>
      <c r="J56" s="73">
        <v>3293820115</v>
      </c>
      <c r="K56" s="70">
        <v>3293820115</v>
      </c>
      <c r="L56" s="73">
        <v>3293820115</v>
      </c>
      <c r="M56" s="73">
        <v>3293820115</v>
      </c>
    </row>
    <row r="57" spans="2:13">
      <c r="B57" s="71">
        <v>3448808118</v>
      </c>
      <c r="C57" s="72">
        <v>3448808118</v>
      </c>
      <c r="D57" s="72">
        <v>3448808118</v>
      </c>
      <c r="E57" s="40">
        <v>3448808118</v>
      </c>
      <c r="F57" s="73">
        <v>3448808118</v>
      </c>
      <c r="G57" s="73">
        <v>3448808118</v>
      </c>
      <c r="H57" s="73">
        <v>3448808118</v>
      </c>
      <c r="I57" s="75">
        <v>3448808118</v>
      </c>
      <c r="J57" s="73">
        <v>3448808118</v>
      </c>
      <c r="K57" s="70">
        <v>3448808118</v>
      </c>
      <c r="L57" s="73">
        <v>3448808118</v>
      </c>
      <c r="M57" s="73">
        <v>3448808118</v>
      </c>
    </row>
    <row r="58" spans="2:13">
      <c r="B58" s="71">
        <v>3632395006</v>
      </c>
      <c r="C58" s="72">
        <v>3632395006</v>
      </c>
      <c r="D58" s="72">
        <v>3632395006</v>
      </c>
      <c r="E58" s="40">
        <v>3632395006</v>
      </c>
      <c r="F58" s="73">
        <v>3632395006</v>
      </c>
      <c r="G58" s="73">
        <v>3632395006</v>
      </c>
      <c r="H58" s="73">
        <v>3632395006</v>
      </c>
      <c r="I58" s="75">
        <v>3632395006</v>
      </c>
      <c r="J58" s="73">
        <v>3632395006</v>
      </c>
      <c r="K58" s="70">
        <v>3632395006</v>
      </c>
      <c r="L58" s="73">
        <v>3632395006</v>
      </c>
      <c r="M58" s="73">
        <v>3632395006</v>
      </c>
    </row>
    <row r="59" spans="2:13">
      <c r="B59" s="71">
        <v>3753663109</v>
      </c>
      <c r="C59" s="72">
        <v>3753663109</v>
      </c>
      <c r="D59" s="72">
        <v>3753663109</v>
      </c>
      <c r="E59" s="40">
        <v>3753663109</v>
      </c>
      <c r="F59" s="73">
        <v>3753663109</v>
      </c>
      <c r="G59" s="73">
        <v>3753663109</v>
      </c>
      <c r="H59" s="73">
        <v>3753663109</v>
      </c>
      <c r="I59" s="75">
        <v>3753663109</v>
      </c>
      <c r="J59" s="73">
        <v>3753663109</v>
      </c>
      <c r="K59" s="70">
        <v>3753663109</v>
      </c>
      <c r="L59" s="73">
        <v>3753663109</v>
      </c>
      <c r="M59" s="73">
        <v>3753663109</v>
      </c>
    </row>
    <row r="60" spans="2:13">
      <c r="B60" s="71">
        <v>3798043001</v>
      </c>
      <c r="C60" s="72">
        <v>3798043001</v>
      </c>
      <c r="D60" s="72">
        <v>3798043001</v>
      </c>
      <c r="E60" s="40">
        <v>3798043001</v>
      </c>
      <c r="F60" s="73">
        <v>3798043001</v>
      </c>
      <c r="G60" s="73">
        <v>3798043001</v>
      </c>
      <c r="H60" s="73">
        <v>3798043001</v>
      </c>
      <c r="I60" s="75">
        <v>3798043001</v>
      </c>
      <c r="J60" s="73">
        <v>3798043001</v>
      </c>
      <c r="K60" s="70">
        <v>3798043001</v>
      </c>
      <c r="L60" s="73">
        <v>3798043001</v>
      </c>
      <c r="M60" s="73">
        <v>3798043001</v>
      </c>
    </row>
    <row r="61" spans="2:13">
      <c r="B61" s="71">
        <v>3908811104</v>
      </c>
      <c r="C61" s="72">
        <v>3908811104</v>
      </c>
      <c r="D61" s="72">
        <v>3908811104</v>
      </c>
      <c r="E61" s="40">
        <v>3908811104</v>
      </c>
      <c r="F61" s="73">
        <v>3908811104</v>
      </c>
      <c r="G61" s="73">
        <v>3908811104</v>
      </c>
      <c r="H61" s="73">
        <v>3908811104</v>
      </c>
      <c r="I61" s="75">
        <v>3908811104</v>
      </c>
      <c r="J61" s="73">
        <v>3908811104</v>
      </c>
      <c r="K61" s="70">
        <v>3908811104</v>
      </c>
      <c r="L61" s="73">
        <v>3908811104</v>
      </c>
      <c r="M61" s="73">
        <v>3908811104</v>
      </c>
    </row>
    <row r="62" spans="2:13">
      <c r="B62" s="71">
        <v>4153807100</v>
      </c>
      <c r="C62" s="72">
        <v>4153807100</v>
      </c>
      <c r="D62" s="72">
        <v>4153807100</v>
      </c>
      <c r="E62" s="40">
        <v>4153807100</v>
      </c>
      <c r="F62" s="73">
        <v>4153807100</v>
      </c>
      <c r="G62" s="73">
        <v>4153807100</v>
      </c>
      <c r="H62" s="73">
        <v>4153807100</v>
      </c>
      <c r="I62" s="75">
        <v>4153807100</v>
      </c>
      <c r="J62" s="73">
        <v>4153807100</v>
      </c>
      <c r="K62" s="70">
        <v>4153807100</v>
      </c>
      <c r="L62" s="73">
        <v>4153807100</v>
      </c>
      <c r="M62" s="73">
        <v>4153807100</v>
      </c>
    </row>
    <row r="63" spans="2:13">
      <c r="B63" s="71">
        <v>4153820112</v>
      </c>
      <c r="C63" s="72">
        <v>4153820112</v>
      </c>
      <c r="D63" s="72">
        <v>4153820112</v>
      </c>
      <c r="E63" s="40">
        <v>4153820112</v>
      </c>
      <c r="F63" s="73">
        <v>4153820112</v>
      </c>
      <c r="G63" s="73">
        <v>4153820112</v>
      </c>
      <c r="H63" s="73">
        <v>4153820112</v>
      </c>
      <c r="I63" s="75">
        <v>4153820112</v>
      </c>
      <c r="J63" s="73">
        <v>4153820112</v>
      </c>
      <c r="K63" s="70">
        <v>4153820112</v>
      </c>
      <c r="L63" s="73">
        <v>4153820112</v>
      </c>
      <c r="M63" s="73">
        <v>4153820112</v>
      </c>
    </row>
    <row r="64" spans="2:13">
      <c r="B64" s="71">
        <v>4308810115</v>
      </c>
      <c r="C64" s="72">
        <v>4308810115</v>
      </c>
      <c r="D64" s="72">
        <v>4308810115</v>
      </c>
      <c r="E64" s="40">
        <v>4308810115</v>
      </c>
      <c r="F64" s="73">
        <v>4308810115</v>
      </c>
      <c r="G64" s="73">
        <v>4308810115</v>
      </c>
      <c r="H64" s="73">
        <v>4308810115</v>
      </c>
      <c r="I64" s="75">
        <v>4308810115</v>
      </c>
      <c r="J64" s="73">
        <v>4308810115</v>
      </c>
      <c r="K64" s="70">
        <v>4308810115</v>
      </c>
      <c r="L64" s="73">
        <v>4308810115</v>
      </c>
      <c r="M64" s="73">
        <v>4308810115</v>
      </c>
    </row>
    <row r="65" spans="2:13">
      <c r="B65" s="71">
        <v>4399122004</v>
      </c>
      <c r="C65" s="72">
        <v>4399122004</v>
      </c>
      <c r="D65" s="72">
        <v>4399122004</v>
      </c>
      <c r="E65" s="40">
        <v>4399122004</v>
      </c>
      <c r="F65" s="73">
        <v>4399122004</v>
      </c>
      <c r="G65" s="73">
        <v>4399122004</v>
      </c>
      <c r="H65" s="73">
        <v>4399122004</v>
      </c>
      <c r="I65" s="75">
        <v>4399122004</v>
      </c>
      <c r="J65" s="73">
        <v>4399122004</v>
      </c>
      <c r="K65" s="70">
        <v>4399122004</v>
      </c>
      <c r="L65" s="73">
        <v>4399122004</v>
      </c>
      <c r="M65" s="73">
        <v>4399122004</v>
      </c>
    </row>
    <row r="66" spans="2:13">
      <c r="B66" s="71">
        <v>4513814101</v>
      </c>
      <c r="C66" s="72">
        <v>4513814101</v>
      </c>
      <c r="D66" s="72">
        <v>4513814101</v>
      </c>
      <c r="E66" s="40">
        <v>4513814101</v>
      </c>
      <c r="F66" s="73">
        <v>4513814101</v>
      </c>
      <c r="G66" s="73">
        <v>4513814101</v>
      </c>
      <c r="H66" s="73">
        <v>4513814101</v>
      </c>
      <c r="I66" s="75">
        <v>4513814101</v>
      </c>
      <c r="J66" s="73">
        <v>4513814101</v>
      </c>
      <c r="K66" s="70">
        <v>4513814101</v>
      </c>
      <c r="L66" s="73">
        <v>4513814101</v>
      </c>
      <c r="M66" s="73">
        <v>4513814101</v>
      </c>
    </row>
    <row r="67" spans="2:13">
      <c r="B67" s="71">
        <v>4533881110</v>
      </c>
      <c r="C67" s="72">
        <v>4533881110</v>
      </c>
      <c r="D67" s="72">
        <v>4533881110</v>
      </c>
      <c r="E67" s="40">
        <v>4533881110</v>
      </c>
      <c r="F67" s="73">
        <v>4533881110</v>
      </c>
      <c r="G67" s="73">
        <v>4533881110</v>
      </c>
      <c r="H67" s="73">
        <v>4533881110</v>
      </c>
      <c r="I67" s="75">
        <v>4533881110</v>
      </c>
      <c r="J67" s="73">
        <v>4533881110</v>
      </c>
      <c r="K67" s="70">
        <v>4533881110</v>
      </c>
      <c r="L67" s="73">
        <v>4533881110</v>
      </c>
      <c r="M67" s="73">
        <v>4533881110</v>
      </c>
    </row>
    <row r="68" spans="2:13">
      <c r="B68" s="71">
        <v>4568811105</v>
      </c>
      <c r="C68" s="72">
        <v>4568811105</v>
      </c>
      <c r="D68" s="72">
        <v>4568811105</v>
      </c>
      <c r="E68" s="40">
        <v>4568811105</v>
      </c>
      <c r="F68" s="73">
        <v>4568811105</v>
      </c>
      <c r="G68" s="73">
        <v>4568811105</v>
      </c>
      <c r="H68" s="73">
        <v>4568811105</v>
      </c>
      <c r="I68" s="75">
        <v>4568811105</v>
      </c>
      <c r="J68" s="73">
        <v>4568811105</v>
      </c>
      <c r="K68" s="70">
        <v>4568811105</v>
      </c>
      <c r="L68" s="73">
        <v>4568811105</v>
      </c>
      <c r="M68" s="73">
        <v>4568811105</v>
      </c>
    </row>
    <row r="69" spans="2:13">
      <c r="B69" s="71">
        <v>4588811101</v>
      </c>
      <c r="C69" s="72">
        <v>4588811101</v>
      </c>
      <c r="D69" s="72">
        <v>4588811101</v>
      </c>
      <c r="E69" s="40">
        <v>4588811101</v>
      </c>
      <c r="F69" s="73">
        <v>4588811101</v>
      </c>
      <c r="G69" s="73">
        <v>4588811101</v>
      </c>
      <c r="H69" s="73">
        <v>4588811101</v>
      </c>
      <c r="I69" s="75">
        <v>4588811101</v>
      </c>
      <c r="J69" s="73">
        <v>4588811101</v>
      </c>
      <c r="K69" s="70">
        <v>4588811101</v>
      </c>
      <c r="L69" s="73">
        <v>4588811101</v>
      </c>
      <c r="M69" s="73">
        <v>4588811101</v>
      </c>
    </row>
    <row r="70" spans="2:13">
      <c r="B70" s="71">
        <v>4794009102</v>
      </c>
      <c r="C70" s="72">
        <v>4794009102</v>
      </c>
      <c r="D70" s="72">
        <v>4794009102</v>
      </c>
      <c r="E70" s="40">
        <v>4794009102</v>
      </c>
      <c r="F70" s="73">
        <v>4794009102</v>
      </c>
      <c r="G70" s="73">
        <v>4794009102</v>
      </c>
      <c r="H70" s="73">
        <v>4794009102</v>
      </c>
      <c r="I70" s="75">
        <v>4794009102</v>
      </c>
      <c r="J70" s="73">
        <v>4794009102</v>
      </c>
      <c r="K70" s="70">
        <v>4794009102</v>
      </c>
      <c r="L70" s="73">
        <v>4794009102</v>
      </c>
      <c r="M70" s="73">
        <v>4794009102</v>
      </c>
    </row>
    <row r="71" spans="2:13">
      <c r="B71" s="71">
        <v>5048811100</v>
      </c>
      <c r="C71" s="72">
        <v>5048811100</v>
      </c>
      <c r="D71" s="72">
        <v>5048811100</v>
      </c>
      <c r="E71" s="40">
        <v>5048811100</v>
      </c>
      <c r="F71" s="73">
        <v>5048811100</v>
      </c>
      <c r="G71" s="73">
        <v>5048811100</v>
      </c>
      <c r="H71" s="73">
        <v>5048811100</v>
      </c>
      <c r="I71" s="75">
        <v>5048811100</v>
      </c>
      <c r="J71" s="73">
        <v>5048811100</v>
      </c>
      <c r="K71" s="70">
        <v>5048811100</v>
      </c>
      <c r="L71" s="73">
        <v>5048811100</v>
      </c>
      <c r="M71" s="73">
        <v>5048811100</v>
      </c>
    </row>
    <row r="72" spans="2:13">
      <c r="B72" s="71">
        <v>5293880104</v>
      </c>
      <c r="C72" s="72">
        <v>5293880104</v>
      </c>
      <c r="D72" s="72">
        <v>5293880104</v>
      </c>
      <c r="E72" s="40">
        <v>5293880104</v>
      </c>
      <c r="F72" s="73">
        <v>5293880104</v>
      </c>
      <c r="G72" s="73">
        <v>5293880104</v>
      </c>
      <c r="H72" s="73">
        <v>5293880104</v>
      </c>
      <c r="I72" s="75">
        <v>5293880104</v>
      </c>
      <c r="J72" s="73">
        <v>5293880104</v>
      </c>
      <c r="K72" s="70">
        <v>5293880104</v>
      </c>
      <c r="L72" s="73">
        <v>5293880104</v>
      </c>
      <c r="M72" s="73">
        <v>5293880104</v>
      </c>
    </row>
    <row r="73" spans="2:13">
      <c r="B73" s="71">
        <v>5333812119</v>
      </c>
      <c r="C73" s="72">
        <v>5333812119</v>
      </c>
      <c r="D73" s="72">
        <v>5333812119</v>
      </c>
      <c r="E73" s="40">
        <v>5333812119</v>
      </c>
      <c r="F73" s="73">
        <v>5333812119</v>
      </c>
      <c r="G73" s="73">
        <v>5333812119</v>
      </c>
      <c r="H73" s="73">
        <v>5333812119</v>
      </c>
      <c r="I73" s="75">
        <v>5333812119</v>
      </c>
      <c r="J73" s="73">
        <v>5333812119</v>
      </c>
      <c r="K73" s="70">
        <v>5333812119</v>
      </c>
      <c r="L73" s="73">
        <v>5333812119</v>
      </c>
      <c r="M73" s="73">
        <v>5333812119</v>
      </c>
    </row>
    <row r="74" spans="2:13">
      <c r="B74" s="71">
        <v>5513812108</v>
      </c>
      <c r="C74" s="72">
        <v>5513812108</v>
      </c>
      <c r="D74" s="72">
        <v>5513812108</v>
      </c>
      <c r="E74" s="40">
        <v>5513812108</v>
      </c>
      <c r="F74" s="73">
        <v>5513812108</v>
      </c>
      <c r="G74" s="73">
        <v>5513812108</v>
      </c>
      <c r="H74" s="73">
        <v>5513812108</v>
      </c>
      <c r="I74" s="75">
        <v>5513812108</v>
      </c>
      <c r="J74" s="73">
        <v>5513812108</v>
      </c>
      <c r="K74" s="70">
        <v>5513812108</v>
      </c>
      <c r="L74" s="73">
        <v>5513812108</v>
      </c>
      <c r="M74" s="73">
        <v>5513812108</v>
      </c>
    </row>
    <row r="75" spans="2:13">
      <c r="B75" s="71">
        <v>5613808124</v>
      </c>
      <c r="C75" s="72">
        <v>5613808124</v>
      </c>
      <c r="D75" s="72">
        <v>5613808124</v>
      </c>
      <c r="E75" s="40">
        <v>5613808124</v>
      </c>
      <c r="F75" s="73">
        <v>5613808124</v>
      </c>
      <c r="G75" s="73">
        <v>5613808124</v>
      </c>
      <c r="H75" s="73">
        <v>5613808124</v>
      </c>
      <c r="I75" s="75">
        <v>5613808124</v>
      </c>
      <c r="J75" s="73">
        <v>5613808124</v>
      </c>
      <c r="K75" s="70">
        <v>5613808124</v>
      </c>
      <c r="L75" s="73">
        <v>5613808124</v>
      </c>
      <c r="M75" s="73">
        <v>5613808124</v>
      </c>
    </row>
    <row r="76" spans="2:13">
      <c r="B76" s="71">
        <v>5668811108</v>
      </c>
      <c r="C76" s="72">
        <v>5668811108</v>
      </c>
      <c r="D76" s="72">
        <v>5668811108</v>
      </c>
      <c r="E76" s="40">
        <v>5668811108</v>
      </c>
      <c r="F76" s="73">
        <v>5668811108</v>
      </c>
      <c r="G76" s="73">
        <v>5668811108</v>
      </c>
      <c r="H76" s="73">
        <v>5668811108</v>
      </c>
      <c r="I76" s="75">
        <v>5668811108</v>
      </c>
      <c r="J76" s="73">
        <v>5668811108</v>
      </c>
      <c r="K76" s="70">
        <v>5668811108</v>
      </c>
      <c r="L76" s="73">
        <v>5668811108</v>
      </c>
      <c r="M76" s="73">
        <v>5668811108</v>
      </c>
    </row>
    <row r="77" spans="2:13">
      <c r="B77" s="71">
        <v>5748811104</v>
      </c>
      <c r="C77" s="72">
        <v>5748811104</v>
      </c>
      <c r="D77" s="72">
        <v>5748811104</v>
      </c>
      <c r="E77" s="40">
        <v>5748811104</v>
      </c>
      <c r="F77" s="73">
        <v>5748811104</v>
      </c>
      <c r="G77" s="73">
        <v>5748811104</v>
      </c>
      <c r="H77" s="73">
        <v>5748811104</v>
      </c>
      <c r="I77" s="75">
        <v>5748811104</v>
      </c>
      <c r="J77" s="73">
        <v>5748811104</v>
      </c>
      <c r="K77" s="70">
        <v>5748811104</v>
      </c>
      <c r="L77" s="73">
        <v>5748811104</v>
      </c>
      <c r="M77" s="73">
        <v>5748811104</v>
      </c>
    </row>
    <row r="78" spans="2:13">
      <c r="B78" s="71">
        <v>5828811100</v>
      </c>
      <c r="C78" s="72">
        <v>5828811100</v>
      </c>
      <c r="D78" s="72">
        <v>5828811100</v>
      </c>
      <c r="E78" s="40">
        <v>5828811100</v>
      </c>
      <c r="F78" s="73">
        <v>5828811100</v>
      </c>
      <c r="G78" s="73">
        <v>5828811100</v>
      </c>
      <c r="H78" s="73">
        <v>5828811100</v>
      </c>
      <c r="I78" s="75">
        <v>5828811100</v>
      </c>
      <c r="J78" s="73">
        <v>5828811100</v>
      </c>
      <c r="K78" s="70">
        <v>5828811100</v>
      </c>
      <c r="L78" s="73">
        <v>5828811100</v>
      </c>
      <c r="M78" s="73">
        <v>5828811100</v>
      </c>
    </row>
    <row r="79" spans="2:13">
      <c r="B79" s="71">
        <v>5913814119</v>
      </c>
      <c r="C79" s="72">
        <v>5913814119</v>
      </c>
      <c r="D79" s="72">
        <v>5913814119</v>
      </c>
      <c r="E79" s="40">
        <v>5913814119</v>
      </c>
      <c r="F79" s="73">
        <v>5913814119</v>
      </c>
      <c r="G79" s="73">
        <v>5913814119</v>
      </c>
      <c r="H79" s="73">
        <v>5913814119</v>
      </c>
      <c r="I79" s="75">
        <v>5913814119</v>
      </c>
      <c r="J79" s="73">
        <v>5913814119</v>
      </c>
      <c r="K79" s="70">
        <v>5913814119</v>
      </c>
      <c r="L79" s="73">
        <v>5913814119</v>
      </c>
      <c r="M79" s="73">
        <v>5913814119</v>
      </c>
    </row>
    <row r="80" spans="2:13">
      <c r="B80" s="71">
        <v>5933814115</v>
      </c>
      <c r="C80" s="72">
        <v>5933814115</v>
      </c>
      <c r="D80" s="72">
        <v>5933814115</v>
      </c>
      <c r="E80" s="40">
        <v>5933814115</v>
      </c>
      <c r="F80" s="73">
        <v>5933814115</v>
      </c>
      <c r="G80" s="73">
        <v>5933814115</v>
      </c>
      <c r="H80" s="73">
        <v>5933814115</v>
      </c>
      <c r="I80" s="75">
        <v>5933814115</v>
      </c>
      <c r="J80" s="73">
        <v>5933814115</v>
      </c>
      <c r="K80" s="70">
        <v>5933814115</v>
      </c>
      <c r="L80" s="73">
        <v>5933814115</v>
      </c>
      <c r="M80" s="73">
        <v>5933814115</v>
      </c>
    </row>
    <row r="81" spans="2:13">
      <c r="B81" s="71">
        <v>6053820112</v>
      </c>
      <c r="C81" s="72">
        <v>6053820112</v>
      </c>
      <c r="D81" s="72">
        <v>6053820112</v>
      </c>
      <c r="E81" s="40">
        <v>6053820112</v>
      </c>
      <c r="F81" s="73">
        <v>6053820112</v>
      </c>
      <c r="G81" s="73">
        <v>6053820112</v>
      </c>
      <c r="H81" s="73">
        <v>6053820112</v>
      </c>
      <c r="I81" s="75">
        <v>6053820112</v>
      </c>
      <c r="J81" s="73">
        <v>6053820112</v>
      </c>
      <c r="K81" s="70">
        <v>6053820112</v>
      </c>
      <c r="L81" s="73">
        <v>6053820112</v>
      </c>
      <c r="M81" s="73">
        <v>6053820112</v>
      </c>
    </row>
    <row r="82" spans="2:13">
      <c r="B82" s="71">
        <v>6173817104</v>
      </c>
      <c r="C82" s="72">
        <v>6173817104</v>
      </c>
      <c r="D82" s="72">
        <v>6173817104</v>
      </c>
      <c r="E82" s="40">
        <v>6173817104</v>
      </c>
      <c r="F82" s="73">
        <v>6173817104</v>
      </c>
      <c r="G82" s="73">
        <v>6173817104</v>
      </c>
      <c r="H82" s="73">
        <v>6173817104</v>
      </c>
      <c r="I82" s="75">
        <v>6173817104</v>
      </c>
      <c r="J82" s="73">
        <v>6173817104</v>
      </c>
      <c r="K82" s="70">
        <v>6173817104</v>
      </c>
      <c r="L82" s="73">
        <v>6173817104</v>
      </c>
      <c r="M82" s="73">
        <v>6173817104</v>
      </c>
    </row>
    <row r="83" spans="2:13">
      <c r="B83" s="71">
        <v>6368810106</v>
      </c>
      <c r="C83" s="72">
        <v>6368810106</v>
      </c>
      <c r="D83" s="72">
        <v>6368810106</v>
      </c>
      <c r="E83" s="40">
        <v>6368810106</v>
      </c>
      <c r="F83" s="73">
        <v>6368810106</v>
      </c>
      <c r="G83" s="73">
        <v>6368810106</v>
      </c>
      <c r="H83" s="73">
        <v>6368810106</v>
      </c>
      <c r="I83" s="75">
        <v>6368810106</v>
      </c>
      <c r="J83" s="73">
        <v>6368810106</v>
      </c>
      <c r="K83" s="70">
        <v>6368810106</v>
      </c>
      <c r="L83" s="73">
        <v>6368810106</v>
      </c>
      <c r="M83" s="73">
        <v>6368810106</v>
      </c>
    </row>
    <row r="84" spans="2:13">
      <c r="B84" s="71">
        <v>6853819124</v>
      </c>
      <c r="C84" s="72">
        <v>6853819124</v>
      </c>
      <c r="D84" s="72">
        <v>6853819124</v>
      </c>
      <c r="E84" s="40">
        <v>6853819124</v>
      </c>
      <c r="F84" s="73">
        <v>6853819124</v>
      </c>
      <c r="G84" s="73">
        <v>6853819124</v>
      </c>
      <c r="H84" s="73">
        <v>6853819124</v>
      </c>
      <c r="I84" s="75">
        <v>6853819124</v>
      </c>
      <c r="J84" s="73">
        <v>6853819124</v>
      </c>
      <c r="K84" s="70">
        <v>6853819124</v>
      </c>
      <c r="L84" s="73">
        <v>6853819124</v>
      </c>
      <c r="M84" s="73">
        <v>6853819124</v>
      </c>
    </row>
    <row r="85" spans="2:13">
      <c r="B85" s="71">
        <v>6857311003</v>
      </c>
      <c r="C85" s="72">
        <v>6857311003</v>
      </c>
      <c r="D85" s="72">
        <v>6857311003</v>
      </c>
      <c r="E85" s="40">
        <v>6857311003</v>
      </c>
      <c r="F85" s="73">
        <v>6857311003</v>
      </c>
      <c r="G85" s="73">
        <v>6857311003</v>
      </c>
      <c r="H85" s="73">
        <v>6857311003</v>
      </c>
      <c r="I85" s="75">
        <v>6857311003</v>
      </c>
      <c r="J85" s="73">
        <v>6857311003</v>
      </c>
      <c r="K85" s="70">
        <v>6857311003</v>
      </c>
      <c r="L85" s="73">
        <v>6857311003</v>
      </c>
      <c r="M85" s="73">
        <v>6857311003</v>
      </c>
    </row>
    <row r="86" spans="2:13">
      <c r="B86" s="71">
        <v>7312015014</v>
      </c>
      <c r="C86" s="72">
        <v>7312015014</v>
      </c>
      <c r="D86" s="72">
        <v>7312015014</v>
      </c>
      <c r="E86" s="40">
        <v>7312015014</v>
      </c>
      <c r="F86" s="73">
        <v>7312015014</v>
      </c>
      <c r="G86" s="73">
        <v>7312015014</v>
      </c>
      <c r="H86" s="73">
        <v>7312015014</v>
      </c>
      <c r="I86" s="75">
        <v>7312015014</v>
      </c>
      <c r="J86" s="73">
        <v>7312015014</v>
      </c>
      <c r="K86" s="70">
        <v>7312015014</v>
      </c>
      <c r="L86" s="73">
        <v>7312015014</v>
      </c>
      <c r="M86" s="73">
        <v>7312015014</v>
      </c>
    </row>
    <row r="87" spans="2:13">
      <c r="B87" s="71">
        <v>8193819106</v>
      </c>
      <c r="C87" s="72">
        <v>8193819106</v>
      </c>
      <c r="D87" s="72">
        <v>8193819106</v>
      </c>
      <c r="E87" s="40">
        <v>8193819106</v>
      </c>
      <c r="F87" s="73">
        <v>8193819106</v>
      </c>
      <c r="G87" s="73">
        <v>8193819106</v>
      </c>
      <c r="H87" s="73">
        <v>8193819106</v>
      </c>
      <c r="I87" s="75">
        <v>8193819106</v>
      </c>
      <c r="J87" s="73">
        <v>8193819106</v>
      </c>
      <c r="K87" s="70">
        <v>8193819106</v>
      </c>
      <c r="L87" s="73">
        <v>8193819106</v>
      </c>
      <c r="M87" s="73">
        <v>8193819106</v>
      </c>
    </row>
    <row r="88" spans="2:13">
      <c r="B88" s="71">
        <v>8714009102</v>
      </c>
      <c r="C88" s="72">
        <v>8714009102</v>
      </c>
      <c r="D88" s="72">
        <v>8714009102</v>
      </c>
      <c r="E88" s="40">
        <v>8714009102</v>
      </c>
      <c r="F88" s="73">
        <v>8714009102</v>
      </c>
      <c r="G88" s="73">
        <v>8714009102</v>
      </c>
      <c r="H88" s="73">
        <v>8714009102</v>
      </c>
      <c r="I88" s="75">
        <v>8714009102</v>
      </c>
      <c r="J88" s="73">
        <v>8714009102</v>
      </c>
      <c r="K88" s="70">
        <v>8714009102</v>
      </c>
      <c r="L88" s="73">
        <v>8714009102</v>
      </c>
      <c r="M88" s="73">
        <v>8714009102</v>
      </c>
    </row>
    <row r="89" spans="2:13">
      <c r="B89" s="71">
        <v>8993882105</v>
      </c>
      <c r="C89" s="72">
        <v>8993882105</v>
      </c>
      <c r="D89" s="72">
        <v>8993882105</v>
      </c>
      <c r="E89" s="40">
        <v>8993882105</v>
      </c>
      <c r="F89" s="73">
        <v>8993882105</v>
      </c>
      <c r="G89" s="73">
        <v>8993882105</v>
      </c>
      <c r="H89" s="73">
        <v>8993882105</v>
      </c>
      <c r="I89" s="75">
        <v>8993882105</v>
      </c>
      <c r="J89" s="73">
        <v>8993882105</v>
      </c>
      <c r="K89" s="70">
        <v>8993882105</v>
      </c>
      <c r="L89" s="73">
        <v>8993882105</v>
      </c>
      <c r="M89" s="73">
        <v>8993882105</v>
      </c>
    </row>
    <row r="90" spans="2:13">
      <c r="B90" s="71">
        <v>9308810101</v>
      </c>
      <c r="C90" s="72">
        <v>9308810101</v>
      </c>
      <c r="D90" s="72">
        <v>9308810101</v>
      </c>
      <c r="E90" s="40">
        <v>9308810101</v>
      </c>
      <c r="F90" s="73">
        <v>9308810101</v>
      </c>
      <c r="G90" s="73">
        <v>9308810101</v>
      </c>
      <c r="H90" s="73">
        <v>9308810101</v>
      </c>
      <c r="I90" s="75">
        <v>9308810101</v>
      </c>
      <c r="J90" s="73">
        <v>9308810101</v>
      </c>
      <c r="K90" s="70">
        <v>9308810101</v>
      </c>
      <c r="L90" s="73">
        <v>9308810101</v>
      </c>
      <c r="M90" s="73">
        <v>9308810101</v>
      </c>
    </row>
    <row r="91" spans="2:13">
      <c r="B91" s="71">
        <v>9428808118</v>
      </c>
      <c r="C91" s="72">
        <v>9428808118</v>
      </c>
      <c r="D91" s="72">
        <v>9428808118</v>
      </c>
      <c r="E91" s="40">
        <v>9428808118</v>
      </c>
      <c r="F91" s="73">
        <v>9428808118</v>
      </c>
      <c r="G91" s="73">
        <v>9428808118</v>
      </c>
      <c r="H91" s="73">
        <v>9428808118</v>
      </c>
      <c r="I91" s="75">
        <v>9428808118</v>
      </c>
      <c r="J91" s="73">
        <v>9428808118</v>
      </c>
      <c r="K91" s="70">
        <v>9428808118</v>
      </c>
      <c r="L91" s="73">
        <v>9428808118</v>
      </c>
      <c r="M91" s="73">
        <v>9428808118</v>
      </c>
    </row>
    <row r="92" spans="2:13">
      <c r="B92" s="71">
        <v>9488810107</v>
      </c>
      <c r="C92" s="72">
        <v>9488810107</v>
      </c>
      <c r="D92" s="72">
        <v>9488810107</v>
      </c>
      <c r="E92" s="40">
        <v>9488810107</v>
      </c>
      <c r="F92" s="73">
        <v>9488810107</v>
      </c>
      <c r="G92" s="73">
        <v>9488810107</v>
      </c>
      <c r="H92" s="73">
        <v>9488810107</v>
      </c>
      <c r="I92" s="75">
        <v>9488810107</v>
      </c>
      <c r="J92" s="73">
        <v>9488810107</v>
      </c>
      <c r="K92" s="70">
        <v>9488810107</v>
      </c>
      <c r="L92" s="73">
        <v>9488810107</v>
      </c>
      <c r="M92" s="73">
        <v>9488810107</v>
      </c>
    </row>
    <row r="93" spans="2:13">
      <c r="B93" s="71">
        <v>9529017113</v>
      </c>
      <c r="C93" s="72">
        <v>9529017113</v>
      </c>
      <c r="D93" s="72">
        <v>9529017113</v>
      </c>
      <c r="E93" s="40">
        <v>9529017113</v>
      </c>
      <c r="F93" s="73">
        <v>9529017113</v>
      </c>
      <c r="G93" s="73">
        <v>9529017113</v>
      </c>
      <c r="H93" s="73">
        <v>9529017113</v>
      </c>
      <c r="I93" s="75">
        <v>9529017113</v>
      </c>
      <c r="J93" s="73">
        <v>9529017113</v>
      </c>
      <c r="K93" s="70">
        <v>9529017113</v>
      </c>
      <c r="L93" s="73">
        <v>9529017113</v>
      </c>
      <c r="M93" s="73">
        <v>9529017113</v>
      </c>
    </row>
    <row r="94" spans="2:13">
      <c r="B94" s="71">
        <v>9753819107</v>
      </c>
      <c r="C94" s="72">
        <v>9753819107</v>
      </c>
      <c r="D94" s="72">
        <v>9753819107</v>
      </c>
      <c r="E94" s="40">
        <v>9753819107</v>
      </c>
      <c r="F94" s="73">
        <v>9753819107</v>
      </c>
      <c r="G94" s="73">
        <v>9753819107</v>
      </c>
      <c r="H94" s="73">
        <v>9753819107</v>
      </c>
      <c r="I94" s="75">
        <v>9753819107</v>
      </c>
      <c r="J94" s="73">
        <v>9753819107</v>
      </c>
      <c r="K94" s="70">
        <v>9753819107</v>
      </c>
      <c r="L94" s="73">
        <v>9753819107</v>
      </c>
      <c r="M94" s="73">
        <v>9753819107</v>
      </c>
    </row>
    <row r="95" spans="2:13">
      <c r="B95" s="71">
        <v>9753820119</v>
      </c>
      <c r="C95" s="72">
        <v>9753820119</v>
      </c>
      <c r="D95" s="72">
        <v>9753820119</v>
      </c>
      <c r="E95" s="40">
        <v>9753820119</v>
      </c>
      <c r="F95" s="73">
        <v>9753820119</v>
      </c>
      <c r="G95" s="73">
        <v>9753820119</v>
      </c>
      <c r="H95" s="73">
        <v>9753820119</v>
      </c>
      <c r="I95" s="75">
        <v>9753820119</v>
      </c>
      <c r="J95" s="73">
        <v>9753820119</v>
      </c>
      <c r="K95" s="70">
        <v>9753820119</v>
      </c>
      <c r="L95" s="73">
        <v>9753820119</v>
      </c>
      <c r="M95" s="73">
        <v>9753820119</v>
      </c>
    </row>
    <row r="96" spans="2:13">
      <c r="B96" s="71">
        <v>9953820104</v>
      </c>
      <c r="C96" s="76">
        <v>9953820104</v>
      </c>
      <c r="D96" s="72">
        <v>9953820104</v>
      </c>
      <c r="E96" s="40">
        <v>9953820104</v>
      </c>
      <c r="F96" s="73">
        <v>9953820104</v>
      </c>
      <c r="G96" s="73">
        <v>9953820104</v>
      </c>
      <c r="H96" s="73">
        <v>9953820104</v>
      </c>
      <c r="I96" s="75">
        <v>9953820104</v>
      </c>
      <c r="J96" s="73">
        <v>9953820104</v>
      </c>
      <c r="K96" s="70">
        <v>9953820104</v>
      </c>
      <c r="L96" s="73">
        <v>9953820104</v>
      </c>
      <c r="M96" s="73">
        <v>9953820104</v>
      </c>
    </row>
    <row r="97" spans="2:13">
      <c r="E97" s="77"/>
      <c r="G97" s="79"/>
      <c r="I97" s="81"/>
      <c r="K97" s="83"/>
      <c r="L97" s="82"/>
      <c r="M97" s="82"/>
    </row>
    <row r="98" spans="2:13">
      <c r="E98" s="77"/>
      <c r="I98" s="81"/>
      <c r="K98" s="84"/>
      <c r="M98" s="80"/>
    </row>
    <row r="99" spans="2:13">
      <c r="K99" s="86"/>
      <c r="M99" s="80"/>
    </row>
    <row r="100" spans="2:13">
      <c r="K100" s="86"/>
      <c r="M100" s="80"/>
    </row>
    <row r="101" spans="2:13">
      <c r="K101" s="86"/>
      <c r="M101" s="80"/>
    </row>
    <row r="102" spans="2:13">
      <c r="K102" s="86"/>
    </row>
    <row r="103" spans="2:13">
      <c r="K103" s="86"/>
    </row>
    <row r="104" spans="2:13">
      <c r="K104" s="86"/>
    </row>
    <row r="105" spans="2:13">
      <c r="K105" s="86"/>
    </row>
    <row r="106" spans="2:13">
      <c r="K106" s="86"/>
    </row>
    <row r="107" spans="2:13">
      <c r="K107" s="86"/>
    </row>
    <row r="108" spans="2:13">
      <c r="K108" s="86"/>
    </row>
    <row r="109" spans="2:13" s="79" customFormat="1">
      <c r="B109" s="31"/>
      <c r="C109" s="31"/>
      <c r="D109" s="31"/>
      <c r="E109" s="85"/>
      <c r="F109" s="78"/>
      <c r="G109" s="78"/>
      <c r="H109" s="80"/>
      <c r="I109" s="78"/>
      <c r="J109" s="82"/>
      <c r="K109" s="86"/>
      <c r="M109" s="87"/>
    </row>
  </sheetData>
  <phoneticPr fontId="7" type="noConversion"/>
  <pageMargins left="0.75" right="0.75" top="1" bottom="1" header="0.5" footer="0.5"/>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4:X98"/>
  <sheetViews>
    <sheetView topLeftCell="A3" workbookViewId="0">
      <selection activeCell="A3" sqref="A3"/>
    </sheetView>
  </sheetViews>
  <sheetFormatPr baseColWidth="10" defaultColWidth="18.1640625" defaultRowHeight="14" x14ac:dyDescent="0"/>
  <cols>
    <col min="1" max="1" width="20.83203125" style="35" customWidth="1"/>
    <col min="2" max="2" width="17.83203125" style="125" customWidth="1"/>
    <col min="3" max="3" width="54.6640625" style="35" customWidth="1"/>
    <col min="4" max="4" width="12.5" style="35" customWidth="1"/>
    <col min="5" max="5" width="13.5" style="35" customWidth="1"/>
    <col min="6" max="6" width="9.83203125" style="35" hidden="1" customWidth="1"/>
    <col min="7" max="7" width="12" style="35" hidden="1" customWidth="1"/>
    <col min="8" max="8" width="10.6640625" style="35" hidden="1" customWidth="1"/>
    <col min="9" max="9" width="12.1640625" style="35" customWidth="1"/>
    <col min="10" max="11" width="14.33203125" style="35" hidden="1" customWidth="1"/>
    <col min="12" max="12" width="6.6640625" style="35" hidden="1" customWidth="1"/>
    <col min="13" max="13" width="19.83203125" style="35" hidden="1" customWidth="1"/>
    <col min="14" max="14" width="18.1640625" style="35" hidden="1" customWidth="1"/>
    <col min="15" max="15" width="6.6640625" style="35" customWidth="1"/>
    <col min="16" max="17" width="18.1640625" style="35" hidden="1" customWidth="1"/>
    <col min="18" max="18" width="12.33203125" style="35" customWidth="1"/>
    <col min="19" max="19" width="14.6640625" style="35" hidden="1" customWidth="1"/>
    <col min="20" max="20" width="5.6640625" style="35" hidden="1" customWidth="1"/>
    <col min="21" max="21" width="10.6640625" style="35" hidden="1" customWidth="1"/>
    <col min="22" max="22" width="7" style="35" hidden="1" customWidth="1"/>
    <col min="23" max="23" width="8.33203125" style="35" customWidth="1"/>
    <col min="24" max="24" width="11.33203125" style="35" customWidth="1"/>
    <col min="25" max="16384" width="18.1640625" style="35"/>
  </cols>
  <sheetData>
    <row r="4" spans="1:24" ht="15" thickBot="1"/>
    <row r="5" spans="1:24" ht="18" customHeight="1" thickBot="1">
      <c r="A5" s="707" t="s">
        <v>289</v>
      </c>
      <c r="B5" s="708"/>
      <c r="C5" s="708"/>
      <c r="D5" s="708"/>
      <c r="E5" s="709"/>
      <c r="F5" s="31"/>
      <c r="G5" s="88"/>
      <c r="H5" s="88"/>
      <c r="I5" s="88"/>
      <c r="J5" s="31"/>
      <c r="K5" s="31"/>
      <c r="L5" s="31"/>
      <c r="M5" s="31"/>
      <c r="N5" s="31"/>
      <c r="O5" s="31"/>
      <c r="P5" s="31"/>
      <c r="Q5" s="31"/>
      <c r="R5" s="88"/>
      <c r="S5" s="31"/>
      <c r="T5" s="31"/>
      <c r="U5" s="31"/>
      <c r="V5" s="31"/>
      <c r="W5" s="31"/>
      <c r="X5" s="88"/>
    </row>
    <row r="6" spans="1:24" ht="18" customHeight="1" thickBot="1">
      <c r="A6" s="710" t="s">
        <v>290</v>
      </c>
      <c r="B6" s="711"/>
      <c r="C6" s="711"/>
      <c r="D6" s="711"/>
      <c r="E6" s="712"/>
      <c r="F6" s="31"/>
      <c r="G6" s="88"/>
      <c r="H6" s="88"/>
      <c r="I6" s="88"/>
      <c r="J6" s="31"/>
      <c r="K6" s="31"/>
      <c r="L6" s="31"/>
      <c r="M6" s="31"/>
      <c r="N6" s="31"/>
      <c r="O6" s="31"/>
      <c r="P6" s="31"/>
      <c r="Q6" s="31"/>
      <c r="R6" s="88"/>
      <c r="S6" s="31"/>
      <c r="T6" s="31"/>
      <c r="U6" s="31"/>
      <c r="V6" s="31"/>
      <c r="W6" s="31"/>
      <c r="X6" s="88"/>
    </row>
    <row r="7" spans="1:24" ht="18" customHeight="1">
      <c r="A7" s="89" t="s">
        <v>291</v>
      </c>
      <c r="B7" s="90"/>
      <c r="C7" s="91"/>
      <c r="D7" s="91"/>
      <c r="E7" s="92"/>
      <c r="F7" s="31"/>
      <c r="G7" s="88"/>
      <c r="H7" s="88"/>
      <c r="I7" s="88"/>
      <c r="J7" s="31"/>
      <c r="K7" s="31"/>
      <c r="L7" s="31"/>
      <c r="M7" s="31"/>
      <c r="N7" s="31"/>
      <c r="O7" s="31"/>
      <c r="P7" s="31"/>
      <c r="Q7" s="31"/>
      <c r="R7" s="88"/>
      <c r="S7" s="31"/>
      <c r="T7" s="31"/>
      <c r="U7" s="31"/>
      <c r="V7" s="31"/>
      <c r="W7" s="31"/>
      <c r="X7" s="88"/>
    </row>
    <row r="8" spans="1:24" s="99" customFormat="1" ht="14.5" customHeight="1" thickBot="1">
      <c r="A8" s="93" t="s">
        <v>292</v>
      </c>
      <c r="B8" s="94"/>
      <c r="C8" s="95"/>
      <c r="D8" s="95"/>
      <c r="E8" s="96"/>
      <c r="F8" s="97"/>
      <c r="G8" s="98"/>
      <c r="H8" s="98"/>
      <c r="I8" s="98"/>
      <c r="J8" s="97"/>
      <c r="K8" s="97"/>
      <c r="L8" s="97"/>
      <c r="M8" s="97"/>
      <c r="N8" s="97"/>
      <c r="O8" s="97"/>
      <c r="P8" s="97"/>
      <c r="Q8" s="97"/>
      <c r="R8" s="98"/>
      <c r="S8" s="97"/>
      <c r="T8" s="97"/>
      <c r="U8" s="97"/>
      <c r="V8" s="97"/>
      <c r="W8" s="97"/>
      <c r="X8" s="98"/>
    </row>
    <row r="9" spans="1:24" s="99" customFormat="1" ht="14" customHeight="1" thickBot="1">
      <c r="A9" s="100" t="s">
        <v>293</v>
      </c>
      <c r="B9" s="101" t="s">
        <v>294</v>
      </c>
      <c r="C9" s="102">
        <v>41297</v>
      </c>
      <c r="D9" s="100" t="s">
        <v>295</v>
      </c>
      <c r="E9" s="102">
        <f>C9+14</f>
        <v>41311</v>
      </c>
      <c r="F9" s="97"/>
      <c r="G9" s="98"/>
      <c r="H9" s="98"/>
      <c r="I9" s="98"/>
      <c r="J9" s="97"/>
      <c r="K9" s="97"/>
      <c r="L9" s="97"/>
      <c r="M9" s="97"/>
      <c r="N9" s="97"/>
      <c r="O9" s="97"/>
      <c r="P9" s="97"/>
      <c r="Q9" s="97"/>
      <c r="R9" s="98"/>
      <c r="S9" s="97"/>
      <c r="T9" s="97"/>
      <c r="U9" s="97"/>
      <c r="V9" s="97"/>
      <c r="W9" s="97"/>
      <c r="X9" s="98"/>
    </row>
    <row r="10" spans="1:24" s="99" customFormat="1" ht="15.5" customHeight="1" thickBot="1">
      <c r="A10" s="103" t="s">
        <v>296</v>
      </c>
      <c r="B10" s="104">
        <f>I98</f>
        <v>23500.01</v>
      </c>
      <c r="C10" s="105"/>
      <c r="D10" s="105"/>
      <c r="E10" s="106"/>
      <c r="F10" s="97"/>
      <c r="G10" s="98"/>
      <c r="H10" s="98"/>
      <c r="I10" s="98"/>
      <c r="J10" s="97"/>
      <c r="K10" s="97"/>
      <c r="L10" s="97"/>
      <c r="M10" s="97"/>
      <c r="N10" s="97"/>
      <c r="O10" s="97"/>
      <c r="P10" s="97"/>
      <c r="Q10" s="97"/>
      <c r="R10" s="98"/>
      <c r="S10" s="97"/>
      <c r="T10" s="97"/>
      <c r="U10" s="97"/>
      <c r="V10" s="97"/>
      <c r="W10" s="97"/>
      <c r="X10" s="98"/>
    </row>
    <row r="11" spans="1:24" s="99" customFormat="1" ht="12.5" customHeight="1" thickBot="1">
      <c r="A11" s="713" t="s">
        <v>297</v>
      </c>
      <c r="B11" s="714"/>
      <c r="C11" s="107">
        <v>41263</v>
      </c>
      <c r="D11" s="108" t="s">
        <v>298</v>
      </c>
      <c r="E11" s="102">
        <v>41297</v>
      </c>
      <c r="F11" s="97"/>
      <c r="G11" s="98"/>
      <c r="H11" s="98"/>
      <c r="I11" s="98"/>
      <c r="J11" s="97"/>
      <c r="K11" s="97"/>
      <c r="L11" s="97"/>
      <c r="M11" s="97"/>
      <c r="N11" s="97"/>
      <c r="O11" s="97"/>
      <c r="P11" s="97"/>
      <c r="Q11" s="97"/>
      <c r="R11" s="98"/>
      <c r="S11" s="97"/>
      <c r="T11" s="97"/>
      <c r="U11" s="97"/>
      <c r="V11" s="97"/>
      <c r="W11" s="97"/>
      <c r="X11" s="98"/>
    </row>
    <row r="12" spans="1:24" s="99" customFormat="1" ht="18" customHeight="1" thickBot="1">
      <c r="A12" s="109" t="s">
        <v>299</v>
      </c>
      <c r="B12" s="110"/>
      <c r="C12" s="111"/>
      <c r="D12" s="111"/>
      <c r="E12" s="112"/>
      <c r="F12" s="97"/>
      <c r="G12" s="98"/>
      <c r="H12" s="98"/>
      <c r="I12" s="98"/>
      <c r="J12" s="97"/>
      <c r="K12" s="97"/>
      <c r="L12" s="97"/>
      <c r="M12" s="97"/>
      <c r="N12" s="97"/>
      <c r="O12" s="97"/>
      <c r="P12" s="97"/>
      <c r="Q12" s="97"/>
      <c r="R12" s="98"/>
      <c r="S12" s="97"/>
      <c r="T12" s="97"/>
      <c r="U12" s="97"/>
      <c r="V12" s="97"/>
      <c r="W12" s="97"/>
      <c r="X12" s="98"/>
    </row>
    <row r="13" spans="1:24" s="99" customFormat="1" ht="18" customHeight="1" thickBot="1">
      <c r="A13" s="113">
        <f>E11</f>
        <v>41297</v>
      </c>
      <c r="B13" s="110"/>
      <c r="C13" s="111"/>
      <c r="D13" s="111"/>
      <c r="E13" s="112"/>
      <c r="F13" s="97"/>
      <c r="G13" s="98"/>
      <c r="H13" s="98"/>
      <c r="I13" s="98"/>
      <c r="J13" s="97"/>
      <c r="K13" s="97"/>
      <c r="L13" s="97"/>
      <c r="M13" s="97"/>
      <c r="N13" s="97"/>
      <c r="O13" s="97"/>
      <c r="P13" s="97"/>
      <c r="Q13" s="97"/>
      <c r="R13" s="98"/>
      <c r="S13" s="97"/>
      <c r="T13" s="97"/>
      <c r="U13" s="97"/>
      <c r="V13" s="97"/>
      <c r="W13" s="97"/>
      <c r="X13" s="98"/>
    </row>
    <row r="14" spans="1:24" s="116" customFormat="1" ht="26" customHeight="1">
      <c r="A14" s="59" t="s">
        <v>370</v>
      </c>
      <c r="B14" s="114" t="s">
        <v>300</v>
      </c>
      <c r="C14" s="114" t="s">
        <v>301</v>
      </c>
      <c r="D14" s="114" t="s">
        <v>302</v>
      </c>
      <c r="E14" s="114" t="s">
        <v>303</v>
      </c>
      <c r="F14" s="114" t="s">
        <v>304</v>
      </c>
      <c r="G14" s="115" t="s">
        <v>305</v>
      </c>
      <c r="H14" s="115" t="s">
        <v>306</v>
      </c>
      <c r="I14" s="115" t="s">
        <v>307</v>
      </c>
      <c r="J14" s="114" t="s">
        <v>308</v>
      </c>
      <c r="K14" s="114" t="s">
        <v>309</v>
      </c>
      <c r="L14" s="114" t="s">
        <v>310</v>
      </c>
      <c r="M14" s="114" t="s">
        <v>311</v>
      </c>
      <c r="N14" s="114" t="s">
        <v>312</v>
      </c>
      <c r="O14" s="114" t="s">
        <v>313</v>
      </c>
      <c r="P14" s="114" t="s">
        <v>314</v>
      </c>
      <c r="Q14" s="114" t="s">
        <v>315</v>
      </c>
      <c r="R14" s="115" t="s">
        <v>316</v>
      </c>
      <c r="S14" s="114" t="s">
        <v>317</v>
      </c>
      <c r="T14" s="114" t="s">
        <v>318</v>
      </c>
      <c r="U14" s="114" t="s">
        <v>319</v>
      </c>
      <c r="V14" s="114" t="s">
        <v>320</v>
      </c>
      <c r="W14" s="114" t="s">
        <v>321</v>
      </c>
      <c r="X14" s="115" t="s">
        <v>322</v>
      </c>
    </row>
    <row r="15" spans="1:24" ht="18" customHeight="1">
      <c r="A15" s="117">
        <v>143027007</v>
      </c>
      <c r="B15" s="118" t="s">
        <v>323</v>
      </c>
      <c r="C15" s="119" t="s">
        <v>324</v>
      </c>
      <c r="D15" s="119" t="s">
        <v>325</v>
      </c>
      <c r="E15" s="119" t="s">
        <v>326</v>
      </c>
      <c r="F15" s="119" t="s">
        <v>325</v>
      </c>
      <c r="G15" s="120">
        <v>25.95</v>
      </c>
      <c r="H15" s="120">
        <v>0</v>
      </c>
      <c r="I15" s="120">
        <v>25.95</v>
      </c>
      <c r="J15" s="121">
        <v>41296</v>
      </c>
      <c r="K15" s="121">
        <v>41290</v>
      </c>
      <c r="L15" s="122">
        <v>33</v>
      </c>
      <c r="M15" s="119" t="s">
        <v>327</v>
      </c>
      <c r="N15" s="119" t="s">
        <v>328</v>
      </c>
      <c r="O15" s="122">
        <v>67</v>
      </c>
      <c r="P15" s="31"/>
      <c r="Q15" s="31"/>
      <c r="R15" s="120">
        <v>25.95</v>
      </c>
      <c r="S15" s="31"/>
      <c r="T15" s="31"/>
      <c r="U15" s="119" t="s">
        <v>325</v>
      </c>
      <c r="V15" s="119" t="s">
        <v>325</v>
      </c>
      <c r="W15" s="31"/>
      <c r="X15" s="120">
        <v>0</v>
      </c>
    </row>
    <row r="16" spans="1:24" ht="18" customHeight="1">
      <c r="A16" s="117">
        <v>173880101</v>
      </c>
      <c r="B16" s="118" t="s">
        <v>323</v>
      </c>
      <c r="C16" s="119" t="s">
        <v>329</v>
      </c>
      <c r="D16" s="119" t="s">
        <v>325</v>
      </c>
      <c r="E16" s="119" t="s">
        <v>330</v>
      </c>
      <c r="F16" s="119" t="s">
        <v>325</v>
      </c>
      <c r="G16" s="120">
        <v>13.9</v>
      </c>
      <c r="H16" s="120">
        <v>0</v>
      </c>
      <c r="I16" s="120">
        <v>13.9</v>
      </c>
      <c r="J16" s="121">
        <v>41296</v>
      </c>
      <c r="K16" s="121">
        <v>41296</v>
      </c>
      <c r="L16" s="122">
        <v>34</v>
      </c>
      <c r="M16" s="119" t="s">
        <v>327</v>
      </c>
      <c r="N16" s="119" t="s">
        <v>325</v>
      </c>
      <c r="O16" s="122">
        <v>85</v>
      </c>
      <c r="P16" s="31"/>
      <c r="Q16" s="31"/>
      <c r="R16" s="120">
        <v>13.9</v>
      </c>
      <c r="S16" s="31"/>
      <c r="T16" s="31"/>
      <c r="U16" s="119" t="s">
        <v>325</v>
      </c>
      <c r="V16" s="119" t="s">
        <v>325</v>
      </c>
      <c r="W16" s="31"/>
      <c r="X16" s="120">
        <v>0</v>
      </c>
    </row>
    <row r="17" spans="1:24" ht="18" customHeight="1">
      <c r="A17" s="117">
        <v>208811116</v>
      </c>
      <c r="B17" s="118" t="s">
        <v>323</v>
      </c>
      <c r="C17" s="119" t="s">
        <v>331</v>
      </c>
      <c r="D17" s="119" t="s">
        <v>325</v>
      </c>
      <c r="E17" s="119" t="s">
        <v>332</v>
      </c>
      <c r="F17" s="119" t="s">
        <v>325</v>
      </c>
      <c r="G17" s="120">
        <v>411.61</v>
      </c>
      <c r="H17" s="120">
        <v>259</v>
      </c>
      <c r="I17" s="120">
        <v>152.61000000000001</v>
      </c>
      <c r="J17" s="121">
        <v>41288</v>
      </c>
      <c r="K17" s="121">
        <v>41283</v>
      </c>
      <c r="L17" s="122">
        <v>33</v>
      </c>
      <c r="M17" s="119" t="s">
        <v>327</v>
      </c>
      <c r="N17" s="119" t="s">
        <v>333</v>
      </c>
      <c r="O17" s="122">
        <v>2013</v>
      </c>
      <c r="P17" s="122">
        <v>6.8</v>
      </c>
      <c r="Q17" s="122">
        <v>0.37377450980392157</v>
      </c>
      <c r="R17" s="120">
        <v>152.61000000000001</v>
      </c>
      <c r="S17" s="31"/>
      <c r="T17" s="31"/>
      <c r="U17" s="119" t="s">
        <v>325</v>
      </c>
      <c r="V17" s="119" t="s">
        <v>325</v>
      </c>
      <c r="W17" s="31"/>
      <c r="X17" s="120">
        <v>0</v>
      </c>
    </row>
    <row r="18" spans="1:24" ht="18" customHeight="1">
      <c r="A18" s="117">
        <v>248811109</v>
      </c>
      <c r="B18" s="118" t="s">
        <v>323</v>
      </c>
      <c r="C18" s="119" t="s">
        <v>334</v>
      </c>
      <c r="D18" s="119" t="s">
        <v>325</v>
      </c>
      <c r="E18" s="119" t="s">
        <v>325</v>
      </c>
      <c r="F18" s="119" t="s">
        <v>335</v>
      </c>
      <c r="G18" s="120">
        <v>622.78</v>
      </c>
      <c r="H18" s="120">
        <v>336.28</v>
      </c>
      <c r="I18" s="120">
        <v>286.5</v>
      </c>
      <c r="J18" s="121">
        <v>41288</v>
      </c>
      <c r="K18" s="31"/>
      <c r="L18" s="31"/>
      <c r="M18" s="119" t="s">
        <v>325</v>
      </c>
      <c r="N18" s="119" t="s">
        <v>325</v>
      </c>
      <c r="O18" s="31"/>
      <c r="P18" s="31"/>
      <c r="Q18" s="31"/>
      <c r="R18" s="120">
        <v>0</v>
      </c>
      <c r="S18" s="121">
        <v>41285</v>
      </c>
      <c r="T18" s="122">
        <v>31</v>
      </c>
      <c r="U18" s="119" t="s">
        <v>327</v>
      </c>
      <c r="V18" s="119" t="s">
        <v>336</v>
      </c>
      <c r="W18" s="122">
        <v>925</v>
      </c>
      <c r="X18" s="120">
        <v>286.5</v>
      </c>
    </row>
    <row r="19" spans="1:24" ht="18" customHeight="1">
      <c r="A19" s="117">
        <v>288811101</v>
      </c>
      <c r="B19" s="118" t="s">
        <v>323</v>
      </c>
      <c r="C19" s="119" t="s">
        <v>337</v>
      </c>
      <c r="D19" s="119" t="s">
        <v>325</v>
      </c>
      <c r="E19" s="119" t="s">
        <v>332</v>
      </c>
      <c r="F19" s="119" t="s">
        <v>325</v>
      </c>
      <c r="G19" s="120">
        <v>1319.66</v>
      </c>
      <c r="H19" s="120">
        <v>886.12</v>
      </c>
      <c r="I19" s="120">
        <v>433.54</v>
      </c>
      <c r="J19" s="121">
        <v>41288</v>
      </c>
      <c r="K19" s="121">
        <v>41283</v>
      </c>
      <c r="L19" s="122">
        <v>33</v>
      </c>
      <c r="M19" s="119" t="s">
        <v>327</v>
      </c>
      <c r="N19" s="119" t="s">
        <v>338</v>
      </c>
      <c r="O19" s="122">
        <v>8080</v>
      </c>
      <c r="P19" s="122">
        <v>25.6</v>
      </c>
      <c r="Q19" s="122">
        <v>0.39851641414141414</v>
      </c>
      <c r="R19" s="120">
        <v>433.54</v>
      </c>
      <c r="S19" s="31"/>
      <c r="T19" s="31"/>
      <c r="U19" s="119" t="s">
        <v>325</v>
      </c>
      <c r="V19" s="119" t="s">
        <v>325</v>
      </c>
      <c r="W19" s="31"/>
      <c r="X19" s="120">
        <v>0</v>
      </c>
    </row>
    <row r="20" spans="1:24" ht="18" customHeight="1">
      <c r="A20" s="117">
        <v>293879106</v>
      </c>
      <c r="B20" s="118" t="s">
        <v>323</v>
      </c>
      <c r="C20" s="119" t="s">
        <v>339</v>
      </c>
      <c r="D20" s="119" t="s">
        <v>340</v>
      </c>
      <c r="E20" s="119" t="s">
        <v>330</v>
      </c>
      <c r="F20" s="119" t="s">
        <v>325</v>
      </c>
      <c r="G20" s="120">
        <v>299.62</v>
      </c>
      <c r="H20" s="120">
        <v>0</v>
      </c>
      <c r="I20" s="120">
        <v>299.62</v>
      </c>
      <c r="J20" s="121">
        <v>41296</v>
      </c>
      <c r="K20" s="121">
        <v>41296</v>
      </c>
      <c r="L20" s="122">
        <v>34</v>
      </c>
      <c r="M20" s="119" t="s">
        <v>327</v>
      </c>
      <c r="N20" s="119" t="s">
        <v>325</v>
      </c>
      <c r="O20" s="122">
        <v>1058</v>
      </c>
      <c r="P20" s="31"/>
      <c r="Q20" s="31"/>
      <c r="R20" s="120">
        <v>299.62</v>
      </c>
      <c r="S20" s="31"/>
      <c r="T20" s="31"/>
      <c r="U20" s="119" t="s">
        <v>325</v>
      </c>
      <c r="V20" s="119" t="s">
        <v>325</v>
      </c>
      <c r="W20" s="31"/>
      <c r="X20" s="120">
        <v>0</v>
      </c>
    </row>
    <row r="21" spans="1:24" ht="18" customHeight="1">
      <c r="A21" s="117">
        <v>308809118</v>
      </c>
      <c r="B21" s="118" t="s">
        <v>323</v>
      </c>
      <c r="C21" s="119" t="s">
        <v>341</v>
      </c>
      <c r="D21" s="119" t="s">
        <v>325</v>
      </c>
      <c r="E21" s="119" t="s">
        <v>342</v>
      </c>
      <c r="F21" s="119" t="s">
        <v>236</v>
      </c>
      <c r="G21" s="120">
        <v>1058.92</v>
      </c>
      <c r="H21" s="120">
        <v>577.95000000000005</v>
      </c>
      <c r="I21" s="120">
        <v>480.97</v>
      </c>
      <c r="J21" s="121">
        <v>41288</v>
      </c>
      <c r="K21" s="121">
        <v>41285</v>
      </c>
      <c r="L21" s="122">
        <v>31</v>
      </c>
      <c r="M21" s="119" t="s">
        <v>327</v>
      </c>
      <c r="N21" s="119" t="s">
        <v>237</v>
      </c>
      <c r="O21" s="122">
        <v>984</v>
      </c>
      <c r="P21" s="31"/>
      <c r="Q21" s="31"/>
      <c r="R21" s="120">
        <v>73.42</v>
      </c>
      <c r="S21" s="121">
        <v>41285</v>
      </c>
      <c r="T21" s="122">
        <v>31</v>
      </c>
      <c r="U21" s="119" t="s">
        <v>327</v>
      </c>
      <c r="V21" s="119" t="s">
        <v>238</v>
      </c>
      <c r="W21" s="122">
        <v>583</v>
      </c>
      <c r="X21" s="120">
        <v>407.55</v>
      </c>
    </row>
    <row r="22" spans="1:24" ht="18" customHeight="1">
      <c r="A22" s="117">
        <v>375074007</v>
      </c>
      <c r="B22" s="118" t="s">
        <v>323</v>
      </c>
      <c r="C22" s="119" t="s">
        <v>239</v>
      </c>
      <c r="D22" s="119" t="s">
        <v>325</v>
      </c>
      <c r="E22" s="119" t="s">
        <v>326</v>
      </c>
      <c r="F22" s="119" t="s">
        <v>325</v>
      </c>
      <c r="G22" s="120">
        <v>53.83</v>
      </c>
      <c r="H22" s="120">
        <v>0</v>
      </c>
      <c r="I22" s="120">
        <v>53.83</v>
      </c>
      <c r="J22" s="121">
        <v>41296</v>
      </c>
      <c r="K22" s="121">
        <v>41290</v>
      </c>
      <c r="L22" s="122">
        <v>32</v>
      </c>
      <c r="M22" s="119" t="s">
        <v>240</v>
      </c>
      <c r="N22" s="119" t="s">
        <v>241</v>
      </c>
      <c r="O22" s="122">
        <v>160</v>
      </c>
      <c r="P22" s="31"/>
      <c r="Q22" s="31"/>
      <c r="R22" s="120">
        <v>32.81</v>
      </c>
      <c r="S22" s="31"/>
      <c r="T22" s="31"/>
      <c r="U22" s="119" t="s">
        <v>325</v>
      </c>
      <c r="V22" s="119" t="s">
        <v>325</v>
      </c>
      <c r="W22" s="31"/>
      <c r="X22" s="120">
        <v>0</v>
      </c>
    </row>
    <row r="23" spans="1:24" ht="18" customHeight="1">
      <c r="A23" s="117">
        <v>783104003</v>
      </c>
      <c r="B23" s="118" t="s">
        <v>323</v>
      </c>
      <c r="C23" s="119" t="s">
        <v>242</v>
      </c>
      <c r="D23" s="119" t="s">
        <v>325</v>
      </c>
      <c r="E23" s="119" t="s">
        <v>326</v>
      </c>
      <c r="F23" s="119" t="s">
        <v>325</v>
      </c>
      <c r="G23" s="120">
        <v>72.02</v>
      </c>
      <c r="H23" s="120">
        <v>47.25</v>
      </c>
      <c r="I23" s="120">
        <v>24.77</v>
      </c>
      <c r="J23" s="121">
        <v>41288</v>
      </c>
      <c r="K23" s="121">
        <v>41284</v>
      </c>
      <c r="L23" s="122">
        <v>30</v>
      </c>
      <c r="M23" s="119" t="s">
        <v>327</v>
      </c>
      <c r="N23" s="119" t="s">
        <v>243</v>
      </c>
      <c r="O23" s="122">
        <v>51</v>
      </c>
      <c r="P23" s="31"/>
      <c r="Q23" s="31"/>
      <c r="R23" s="120">
        <v>24.77</v>
      </c>
      <c r="S23" s="31"/>
      <c r="T23" s="31"/>
      <c r="U23" s="119" t="s">
        <v>325</v>
      </c>
      <c r="V23" s="119" t="s">
        <v>325</v>
      </c>
      <c r="W23" s="31"/>
      <c r="X23" s="120">
        <v>0</v>
      </c>
    </row>
    <row r="24" spans="1:24" ht="18" customHeight="1">
      <c r="A24" s="117">
        <v>852028007</v>
      </c>
      <c r="B24" s="118" t="s">
        <v>323</v>
      </c>
      <c r="C24" s="119" t="s">
        <v>244</v>
      </c>
      <c r="D24" s="119" t="s">
        <v>325</v>
      </c>
      <c r="E24" s="119" t="s">
        <v>325</v>
      </c>
      <c r="F24" s="119" t="s">
        <v>335</v>
      </c>
      <c r="G24" s="120">
        <v>153.47</v>
      </c>
      <c r="H24" s="120">
        <v>0</v>
      </c>
      <c r="I24" s="120">
        <v>153.47</v>
      </c>
      <c r="J24" s="121">
        <v>41296</v>
      </c>
      <c r="K24" s="31"/>
      <c r="L24" s="31"/>
      <c r="M24" s="119" t="s">
        <v>325</v>
      </c>
      <c r="N24" s="119" t="s">
        <v>325</v>
      </c>
      <c r="O24" s="31"/>
      <c r="P24" s="31"/>
      <c r="Q24" s="31"/>
      <c r="R24" s="120">
        <v>0</v>
      </c>
      <c r="S24" s="121">
        <v>41290</v>
      </c>
      <c r="T24" s="122">
        <v>33</v>
      </c>
      <c r="U24" s="119" t="s">
        <v>327</v>
      </c>
      <c r="V24" s="119" t="s">
        <v>245</v>
      </c>
      <c r="W24" s="122">
        <v>368</v>
      </c>
      <c r="X24" s="120">
        <v>153.47</v>
      </c>
    </row>
    <row r="25" spans="1:24" ht="18" customHeight="1">
      <c r="A25" s="117">
        <v>893816110</v>
      </c>
      <c r="B25" s="118" t="s">
        <v>323</v>
      </c>
      <c r="C25" s="119" t="s">
        <v>246</v>
      </c>
      <c r="D25" s="119" t="s">
        <v>325</v>
      </c>
      <c r="E25" s="119" t="s">
        <v>326</v>
      </c>
      <c r="F25" s="119" t="s">
        <v>325</v>
      </c>
      <c r="G25" s="120">
        <v>36.200000000000003</v>
      </c>
      <c r="H25" s="120">
        <v>0</v>
      </c>
      <c r="I25" s="120">
        <v>36.200000000000003</v>
      </c>
      <c r="J25" s="121">
        <v>41296</v>
      </c>
      <c r="K25" s="121">
        <v>41295</v>
      </c>
      <c r="L25" s="122">
        <v>37</v>
      </c>
      <c r="M25" s="119" t="s">
        <v>327</v>
      </c>
      <c r="N25" s="119" t="s">
        <v>247</v>
      </c>
      <c r="O25" s="122">
        <v>139</v>
      </c>
      <c r="P25" s="31"/>
      <c r="Q25" s="31"/>
      <c r="R25" s="120">
        <v>36.200000000000003</v>
      </c>
      <c r="S25" s="31"/>
      <c r="T25" s="31"/>
      <c r="U25" s="119" t="s">
        <v>325</v>
      </c>
      <c r="V25" s="119" t="s">
        <v>325</v>
      </c>
      <c r="W25" s="31"/>
      <c r="X25" s="120">
        <v>0</v>
      </c>
    </row>
    <row r="26" spans="1:24" ht="18" customHeight="1">
      <c r="A26" s="117">
        <v>893819102</v>
      </c>
      <c r="B26" s="118" t="s">
        <v>323</v>
      </c>
      <c r="C26" s="119" t="s">
        <v>248</v>
      </c>
      <c r="D26" s="119" t="s">
        <v>325</v>
      </c>
      <c r="E26" s="119" t="s">
        <v>325</v>
      </c>
      <c r="F26" s="119" t="s">
        <v>335</v>
      </c>
      <c r="G26" s="120">
        <v>79.56</v>
      </c>
      <c r="H26" s="120">
        <v>0</v>
      </c>
      <c r="I26" s="120">
        <v>79.56</v>
      </c>
      <c r="J26" s="121">
        <v>41296</v>
      </c>
      <c r="K26" s="31"/>
      <c r="L26" s="31"/>
      <c r="M26" s="119" t="s">
        <v>325</v>
      </c>
      <c r="N26" s="119" t="s">
        <v>325</v>
      </c>
      <c r="O26" s="31"/>
      <c r="P26" s="31"/>
      <c r="Q26" s="31"/>
      <c r="R26" s="120">
        <v>0</v>
      </c>
      <c r="S26" s="121">
        <v>41290</v>
      </c>
      <c r="T26" s="122">
        <v>33</v>
      </c>
      <c r="U26" s="119" t="s">
        <v>327</v>
      </c>
      <c r="V26" s="119" t="s">
        <v>249</v>
      </c>
      <c r="W26" s="122">
        <v>141</v>
      </c>
      <c r="X26" s="120">
        <v>79.56</v>
      </c>
    </row>
    <row r="27" spans="1:24" ht="18" customHeight="1">
      <c r="A27" s="117">
        <v>913819100</v>
      </c>
      <c r="B27" s="118" t="s">
        <v>323</v>
      </c>
      <c r="C27" s="119" t="s">
        <v>250</v>
      </c>
      <c r="D27" s="119" t="s">
        <v>325</v>
      </c>
      <c r="E27" s="119" t="s">
        <v>325</v>
      </c>
      <c r="F27" s="119" t="s">
        <v>335</v>
      </c>
      <c r="G27" s="120">
        <v>124.33</v>
      </c>
      <c r="H27" s="120">
        <v>0</v>
      </c>
      <c r="I27" s="120">
        <v>124.33</v>
      </c>
      <c r="J27" s="121">
        <v>41296</v>
      </c>
      <c r="K27" s="31"/>
      <c r="L27" s="31"/>
      <c r="M27" s="119" t="s">
        <v>325</v>
      </c>
      <c r="N27" s="119" t="s">
        <v>325</v>
      </c>
      <c r="O27" s="31"/>
      <c r="P27" s="31"/>
      <c r="Q27" s="31"/>
      <c r="R27" s="120">
        <v>0</v>
      </c>
      <c r="S27" s="121">
        <v>41290</v>
      </c>
      <c r="T27" s="122">
        <v>33</v>
      </c>
      <c r="U27" s="119" t="s">
        <v>327</v>
      </c>
      <c r="V27" s="119" t="s">
        <v>251</v>
      </c>
      <c r="W27" s="122">
        <v>252</v>
      </c>
      <c r="X27" s="120">
        <v>124.33</v>
      </c>
    </row>
    <row r="28" spans="1:24" ht="18" customHeight="1">
      <c r="A28" s="117">
        <v>933819115</v>
      </c>
      <c r="B28" s="118" t="s">
        <v>323</v>
      </c>
      <c r="C28" s="119" t="s">
        <v>252</v>
      </c>
      <c r="D28" s="119" t="s">
        <v>325</v>
      </c>
      <c r="E28" s="119" t="s">
        <v>325</v>
      </c>
      <c r="F28" s="119" t="s">
        <v>335</v>
      </c>
      <c r="G28" s="120">
        <v>151.16</v>
      </c>
      <c r="H28" s="120">
        <v>0</v>
      </c>
      <c r="I28" s="120">
        <v>151.16</v>
      </c>
      <c r="J28" s="121">
        <v>41296</v>
      </c>
      <c r="K28" s="31"/>
      <c r="L28" s="31"/>
      <c r="M28" s="119" t="s">
        <v>325</v>
      </c>
      <c r="N28" s="119" t="s">
        <v>325</v>
      </c>
      <c r="O28" s="31"/>
      <c r="P28" s="31"/>
      <c r="Q28" s="31"/>
      <c r="R28" s="120">
        <v>0</v>
      </c>
      <c r="S28" s="121">
        <v>41290</v>
      </c>
      <c r="T28" s="122">
        <v>33</v>
      </c>
      <c r="U28" s="119" t="s">
        <v>327</v>
      </c>
      <c r="V28" s="119" t="s">
        <v>253</v>
      </c>
      <c r="W28" s="122">
        <v>359</v>
      </c>
      <c r="X28" s="120">
        <v>151.16</v>
      </c>
    </row>
    <row r="29" spans="1:24" ht="18" customHeight="1">
      <c r="A29" s="117">
        <v>948810124</v>
      </c>
      <c r="B29" s="118" t="s">
        <v>323</v>
      </c>
      <c r="C29" s="119" t="s">
        <v>254</v>
      </c>
      <c r="D29" s="119" t="s">
        <v>325</v>
      </c>
      <c r="E29" s="119" t="s">
        <v>255</v>
      </c>
      <c r="F29" s="119" t="s">
        <v>325</v>
      </c>
      <c r="G29" s="120">
        <v>239.41</v>
      </c>
      <c r="H29" s="120">
        <v>142.36000000000001</v>
      </c>
      <c r="I29" s="120">
        <v>97.05</v>
      </c>
      <c r="J29" s="121">
        <v>41288</v>
      </c>
      <c r="K29" s="121">
        <v>41283</v>
      </c>
      <c r="L29" s="122">
        <v>33</v>
      </c>
      <c r="M29" s="119" t="s">
        <v>327</v>
      </c>
      <c r="N29" s="119" t="s">
        <v>256</v>
      </c>
      <c r="O29" s="122">
        <v>483</v>
      </c>
      <c r="P29" s="31"/>
      <c r="Q29" s="31"/>
      <c r="R29" s="120">
        <v>97.05</v>
      </c>
      <c r="S29" s="31"/>
      <c r="T29" s="31"/>
      <c r="U29" s="119" t="s">
        <v>325</v>
      </c>
      <c r="V29" s="119" t="s">
        <v>325</v>
      </c>
      <c r="W29" s="31"/>
      <c r="X29" s="120">
        <v>0</v>
      </c>
    </row>
    <row r="30" spans="1:24" ht="18" customHeight="1">
      <c r="A30" s="117">
        <v>1028809119</v>
      </c>
      <c r="B30" s="118" t="s">
        <v>323</v>
      </c>
      <c r="C30" s="119" t="s">
        <v>257</v>
      </c>
      <c r="D30" s="119" t="s">
        <v>325</v>
      </c>
      <c r="E30" s="119" t="s">
        <v>255</v>
      </c>
      <c r="F30" s="119" t="s">
        <v>325</v>
      </c>
      <c r="G30" s="120">
        <v>63.06</v>
      </c>
      <c r="H30" s="120">
        <v>42.04</v>
      </c>
      <c r="I30" s="120">
        <v>21.02</v>
      </c>
      <c r="J30" s="121">
        <v>41288</v>
      </c>
      <c r="K30" s="121">
        <v>41285</v>
      </c>
      <c r="L30" s="122">
        <v>31</v>
      </c>
      <c r="M30" s="119" t="s">
        <v>327</v>
      </c>
      <c r="N30" s="119" t="s">
        <v>258</v>
      </c>
      <c r="O30" s="122">
        <v>0</v>
      </c>
      <c r="P30" s="31"/>
      <c r="Q30" s="31"/>
      <c r="R30" s="120">
        <v>21.02</v>
      </c>
      <c r="S30" s="31"/>
      <c r="T30" s="31"/>
      <c r="U30" s="119" t="s">
        <v>325</v>
      </c>
      <c r="V30" s="119" t="s">
        <v>325</v>
      </c>
      <c r="W30" s="31"/>
      <c r="X30" s="120">
        <v>0</v>
      </c>
    </row>
    <row r="31" spans="1:24" ht="18" customHeight="1">
      <c r="A31" s="117">
        <v>1133133008</v>
      </c>
      <c r="B31" s="118" t="s">
        <v>323</v>
      </c>
      <c r="C31" s="119" t="s">
        <v>259</v>
      </c>
      <c r="D31" s="119" t="s">
        <v>325</v>
      </c>
      <c r="E31" s="119" t="s">
        <v>326</v>
      </c>
      <c r="F31" s="119" t="s">
        <v>325</v>
      </c>
      <c r="G31" s="120">
        <v>98.83</v>
      </c>
      <c r="H31" s="120">
        <v>66.19</v>
      </c>
      <c r="I31" s="120">
        <v>32.64</v>
      </c>
      <c r="J31" s="121">
        <v>41282</v>
      </c>
      <c r="K31" s="121">
        <v>41278</v>
      </c>
      <c r="L31" s="122">
        <v>31</v>
      </c>
      <c r="M31" s="119" t="s">
        <v>327</v>
      </c>
      <c r="N31" s="119" t="s">
        <v>260</v>
      </c>
      <c r="O31" s="122">
        <v>158</v>
      </c>
      <c r="P31" s="31"/>
      <c r="Q31" s="31"/>
      <c r="R31" s="120">
        <v>32.64</v>
      </c>
      <c r="S31" s="31"/>
      <c r="T31" s="31"/>
      <c r="U31" s="119" t="s">
        <v>325</v>
      </c>
      <c r="V31" s="119" t="s">
        <v>325</v>
      </c>
      <c r="W31" s="31"/>
      <c r="X31" s="120">
        <v>0</v>
      </c>
    </row>
    <row r="32" spans="1:24" ht="18" customHeight="1">
      <c r="A32" s="117">
        <v>1133819101</v>
      </c>
      <c r="B32" s="118" t="s">
        <v>323</v>
      </c>
      <c r="C32" s="119" t="s">
        <v>261</v>
      </c>
      <c r="D32" s="119" t="s">
        <v>325</v>
      </c>
      <c r="E32" s="119" t="s">
        <v>326</v>
      </c>
      <c r="F32" s="119" t="s">
        <v>325</v>
      </c>
      <c r="G32" s="120">
        <v>57.32</v>
      </c>
      <c r="H32" s="120">
        <v>0</v>
      </c>
      <c r="I32" s="120">
        <v>57.32</v>
      </c>
      <c r="J32" s="121">
        <v>41296</v>
      </c>
      <c r="K32" s="121">
        <v>41291</v>
      </c>
      <c r="L32" s="122">
        <v>34</v>
      </c>
      <c r="M32" s="119" t="s">
        <v>327</v>
      </c>
      <c r="N32" s="119" t="s">
        <v>262</v>
      </c>
      <c r="O32" s="122">
        <v>492</v>
      </c>
      <c r="P32" s="31"/>
      <c r="Q32" s="31"/>
      <c r="R32" s="120">
        <v>57.32</v>
      </c>
      <c r="S32" s="31"/>
      <c r="T32" s="31"/>
      <c r="U32" s="119" t="s">
        <v>325</v>
      </c>
      <c r="V32" s="119" t="s">
        <v>325</v>
      </c>
      <c r="W32" s="31"/>
      <c r="X32" s="120">
        <v>0</v>
      </c>
    </row>
    <row r="33" spans="1:24" ht="18" customHeight="1">
      <c r="A33" s="117">
        <v>1193808115</v>
      </c>
      <c r="B33" s="118" t="s">
        <v>323</v>
      </c>
      <c r="C33" s="119" t="s">
        <v>263</v>
      </c>
      <c r="D33" s="119" t="s">
        <v>325</v>
      </c>
      <c r="E33" s="119" t="s">
        <v>326</v>
      </c>
      <c r="F33" s="119" t="s">
        <v>325</v>
      </c>
      <c r="G33" s="120">
        <v>29.8</v>
      </c>
      <c r="H33" s="120">
        <v>0</v>
      </c>
      <c r="I33" s="120">
        <v>29.8</v>
      </c>
      <c r="J33" s="121">
        <v>41296</v>
      </c>
      <c r="K33" s="121">
        <v>41290</v>
      </c>
      <c r="L33" s="122">
        <v>32</v>
      </c>
      <c r="M33" s="119" t="s">
        <v>327</v>
      </c>
      <c r="N33" s="119" t="s">
        <v>264</v>
      </c>
      <c r="O33" s="122">
        <v>119</v>
      </c>
      <c r="P33" s="31"/>
      <c r="Q33" s="31"/>
      <c r="R33" s="120">
        <v>29.8</v>
      </c>
      <c r="S33" s="31"/>
      <c r="T33" s="31"/>
      <c r="U33" s="119" t="s">
        <v>325</v>
      </c>
      <c r="V33" s="119" t="s">
        <v>325</v>
      </c>
      <c r="W33" s="31"/>
      <c r="X33" s="120">
        <v>0</v>
      </c>
    </row>
    <row r="34" spans="1:24" ht="18" customHeight="1">
      <c r="A34" s="117">
        <v>1492627005</v>
      </c>
      <c r="B34" s="118" t="s">
        <v>323</v>
      </c>
      <c r="C34" s="119" t="s">
        <v>265</v>
      </c>
      <c r="D34" s="119" t="s">
        <v>325</v>
      </c>
      <c r="E34" s="119" t="s">
        <v>326</v>
      </c>
      <c r="F34" s="119" t="s">
        <v>325</v>
      </c>
      <c r="G34" s="120">
        <v>83.62</v>
      </c>
      <c r="H34" s="120">
        <v>55.83</v>
      </c>
      <c r="I34" s="120">
        <v>27.79</v>
      </c>
      <c r="J34" s="121">
        <v>41288</v>
      </c>
      <c r="K34" s="121">
        <v>41285</v>
      </c>
      <c r="L34" s="122">
        <v>31</v>
      </c>
      <c r="M34" s="119" t="s">
        <v>327</v>
      </c>
      <c r="N34" s="119" t="s">
        <v>266</v>
      </c>
      <c r="O34" s="122">
        <v>92</v>
      </c>
      <c r="P34" s="31"/>
      <c r="Q34" s="31"/>
      <c r="R34" s="120">
        <v>27.79</v>
      </c>
      <c r="S34" s="31"/>
      <c r="T34" s="31"/>
      <c r="U34" s="119" t="s">
        <v>325</v>
      </c>
      <c r="V34" s="119" t="s">
        <v>325</v>
      </c>
      <c r="W34" s="31"/>
      <c r="X34" s="120">
        <v>0</v>
      </c>
    </row>
    <row r="35" spans="1:24" ht="18" customHeight="1">
      <c r="A35" s="117">
        <v>1513818115</v>
      </c>
      <c r="B35" s="118" t="s">
        <v>323</v>
      </c>
      <c r="C35" s="119" t="s">
        <v>267</v>
      </c>
      <c r="D35" s="119" t="s">
        <v>325</v>
      </c>
      <c r="E35" s="119" t="s">
        <v>326</v>
      </c>
      <c r="F35" s="119" t="s">
        <v>325</v>
      </c>
      <c r="G35" s="120">
        <v>35.72</v>
      </c>
      <c r="H35" s="120">
        <v>0</v>
      </c>
      <c r="I35" s="120">
        <v>35.72</v>
      </c>
      <c r="J35" s="121">
        <v>41296</v>
      </c>
      <c r="K35" s="121">
        <v>41290</v>
      </c>
      <c r="L35" s="122">
        <v>33</v>
      </c>
      <c r="M35" s="119" t="s">
        <v>327</v>
      </c>
      <c r="N35" s="119" t="s">
        <v>268</v>
      </c>
      <c r="O35" s="122">
        <v>199</v>
      </c>
      <c r="P35" s="31"/>
      <c r="Q35" s="31"/>
      <c r="R35" s="120">
        <v>35.72</v>
      </c>
      <c r="S35" s="31"/>
      <c r="T35" s="31"/>
      <c r="U35" s="119" t="s">
        <v>325</v>
      </c>
      <c r="V35" s="119" t="s">
        <v>325</v>
      </c>
      <c r="W35" s="31"/>
      <c r="X35" s="120">
        <v>0</v>
      </c>
    </row>
    <row r="36" spans="1:24" ht="18" customHeight="1">
      <c r="A36" s="117">
        <v>1608811106</v>
      </c>
      <c r="B36" s="118" t="s">
        <v>323</v>
      </c>
      <c r="C36" s="119" t="s">
        <v>337</v>
      </c>
      <c r="D36" s="119" t="s">
        <v>325</v>
      </c>
      <c r="E36" s="119" t="s">
        <v>332</v>
      </c>
      <c r="F36" s="119" t="s">
        <v>325</v>
      </c>
      <c r="G36" s="120">
        <v>881.03</v>
      </c>
      <c r="H36" s="120">
        <v>788.38</v>
      </c>
      <c r="I36" s="120">
        <v>92.65</v>
      </c>
      <c r="J36" s="121">
        <v>41288</v>
      </c>
      <c r="K36" s="121">
        <v>41288</v>
      </c>
      <c r="L36" s="122">
        <v>34</v>
      </c>
      <c r="M36" s="119" t="s">
        <v>327</v>
      </c>
      <c r="N36" s="119" t="s">
        <v>269</v>
      </c>
      <c r="O36" s="122">
        <v>1117</v>
      </c>
      <c r="P36" s="122">
        <v>2.5</v>
      </c>
      <c r="Q36" s="122">
        <v>0.54754901960784308</v>
      </c>
      <c r="R36" s="120">
        <v>92.65</v>
      </c>
      <c r="S36" s="31"/>
      <c r="T36" s="31"/>
      <c r="U36" s="119" t="s">
        <v>325</v>
      </c>
      <c r="V36" s="119" t="s">
        <v>325</v>
      </c>
      <c r="W36" s="31"/>
      <c r="X36" s="120">
        <v>0</v>
      </c>
    </row>
    <row r="37" spans="1:24" ht="18" customHeight="1">
      <c r="A37" s="117">
        <v>1653819107</v>
      </c>
      <c r="B37" s="118" t="s">
        <v>323</v>
      </c>
      <c r="C37" s="119" t="s">
        <v>270</v>
      </c>
      <c r="D37" s="119" t="s">
        <v>325</v>
      </c>
      <c r="E37" s="119" t="s">
        <v>326</v>
      </c>
      <c r="F37" s="119" t="s">
        <v>325</v>
      </c>
      <c r="G37" s="120">
        <v>88.98</v>
      </c>
      <c r="H37" s="120">
        <v>0</v>
      </c>
      <c r="I37" s="120">
        <v>88.98</v>
      </c>
      <c r="J37" s="121">
        <v>41296</v>
      </c>
      <c r="K37" s="121">
        <v>41290</v>
      </c>
      <c r="L37" s="122">
        <v>32</v>
      </c>
      <c r="M37" s="119" t="s">
        <v>327</v>
      </c>
      <c r="N37" s="119" t="s">
        <v>271</v>
      </c>
      <c r="O37" s="122">
        <v>921</v>
      </c>
      <c r="P37" s="31"/>
      <c r="Q37" s="31"/>
      <c r="R37" s="120">
        <v>88.98</v>
      </c>
      <c r="S37" s="31"/>
      <c r="T37" s="31"/>
      <c r="U37" s="119" t="s">
        <v>325</v>
      </c>
      <c r="V37" s="119" t="s">
        <v>325</v>
      </c>
      <c r="W37" s="31"/>
      <c r="X37" s="120">
        <v>0</v>
      </c>
    </row>
    <row r="38" spans="1:24" ht="18" customHeight="1">
      <c r="A38" s="117">
        <v>1833820108</v>
      </c>
      <c r="B38" s="118" t="s">
        <v>323</v>
      </c>
      <c r="C38" s="119" t="s">
        <v>272</v>
      </c>
      <c r="D38" s="119" t="s">
        <v>325</v>
      </c>
      <c r="E38" s="119" t="s">
        <v>326</v>
      </c>
      <c r="F38" s="119" t="s">
        <v>325</v>
      </c>
      <c r="G38" s="120">
        <v>91.57</v>
      </c>
      <c r="H38" s="120">
        <v>0</v>
      </c>
      <c r="I38" s="120">
        <v>91.57</v>
      </c>
      <c r="J38" s="121">
        <v>41296</v>
      </c>
      <c r="K38" s="121">
        <v>41290</v>
      </c>
      <c r="L38" s="122">
        <v>33</v>
      </c>
      <c r="M38" s="119" t="s">
        <v>327</v>
      </c>
      <c r="N38" s="119" t="s">
        <v>273</v>
      </c>
      <c r="O38" s="122">
        <v>956</v>
      </c>
      <c r="P38" s="31"/>
      <c r="Q38" s="31"/>
      <c r="R38" s="120">
        <v>91.57</v>
      </c>
      <c r="S38" s="31"/>
      <c r="T38" s="31"/>
      <c r="U38" s="119" t="s">
        <v>325</v>
      </c>
      <c r="V38" s="119" t="s">
        <v>325</v>
      </c>
      <c r="W38" s="31"/>
      <c r="X38" s="120">
        <v>0</v>
      </c>
    </row>
    <row r="39" spans="1:24" ht="18" customHeight="1">
      <c r="A39" s="117">
        <v>1851009009</v>
      </c>
      <c r="B39" s="118" t="s">
        <v>323</v>
      </c>
      <c r="C39" s="119" t="s">
        <v>274</v>
      </c>
      <c r="D39" s="119" t="s">
        <v>325</v>
      </c>
      <c r="E39" s="119" t="s">
        <v>326</v>
      </c>
      <c r="F39" s="119" t="s">
        <v>325</v>
      </c>
      <c r="G39" s="120">
        <v>56.22</v>
      </c>
      <c r="H39" s="120">
        <v>0</v>
      </c>
      <c r="I39" s="120">
        <v>56.22</v>
      </c>
      <c r="J39" s="121">
        <v>41296</v>
      </c>
      <c r="K39" s="121">
        <v>41290</v>
      </c>
      <c r="L39" s="122">
        <v>33</v>
      </c>
      <c r="M39" s="119" t="s">
        <v>327</v>
      </c>
      <c r="N39" s="119" t="s">
        <v>275</v>
      </c>
      <c r="O39" s="122">
        <v>477</v>
      </c>
      <c r="P39" s="31"/>
      <c r="Q39" s="31"/>
      <c r="R39" s="120">
        <v>56.22</v>
      </c>
      <c r="S39" s="31"/>
      <c r="T39" s="31"/>
      <c r="U39" s="119" t="s">
        <v>325</v>
      </c>
      <c r="V39" s="119" t="s">
        <v>325</v>
      </c>
      <c r="W39" s="31"/>
      <c r="X39" s="120">
        <v>0</v>
      </c>
    </row>
    <row r="40" spans="1:24" ht="18" customHeight="1">
      <c r="A40" s="117">
        <v>1933810131</v>
      </c>
      <c r="B40" s="118" t="s">
        <v>323</v>
      </c>
      <c r="C40" s="119" t="s">
        <v>276</v>
      </c>
      <c r="D40" s="119" t="s">
        <v>325</v>
      </c>
      <c r="E40" s="119" t="s">
        <v>332</v>
      </c>
      <c r="F40" s="119" t="s">
        <v>277</v>
      </c>
      <c r="G40" s="120">
        <v>768.55</v>
      </c>
      <c r="H40" s="120">
        <v>0</v>
      </c>
      <c r="I40" s="120">
        <v>768.55</v>
      </c>
      <c r="J40" s="121">
        <v>41296</v>
      </c>
      <c r="K40" s="121">
        <v>41290</v>
      </c>
      <c r="L40" s="122">
        <v>33</v>
      </c>
      <c r="M40" s="119" t="s">
        <v>327</v>
      </c>
      <c r="N40" s="119" t="s">
        <v>278</v>
      </c>
      <c r="O40" s="122">
        <v>596</v>
      </c>
      <c r="P40" s="122">
        <v>4.3</v>
      </c>
      <c r="Q40" s="122">
        <v>0.1750058726802913</v>
      </c>
      <c r="R40" s="120">
        <v>110.16</v>
      </c>
      <c r="S40" s="121">
        <v>41290</v>
      </c>
      <c r="T40" s="122">
        <v>63</v>
      </c>
      <c r="U40" s="119" t="s">
        <v>327</v>
      </c>
      <c r="V40" s="119" t="s">
        <v>279</v>
      </c>
      <c r="W40" s="122">
        <v>734</v>
      </c>
      <c r="X40" s="120">
        <v>658.39</v>
      </c>
    </row>
    <row r="41" spans="1:24" ht="18" customHeight="1">
      <c r="A41" s="117">
        <v>2133819102</v>
      </c>
      <c r="B41" s="118" t="s">
        <v>323</v>
      </c>
      <c r="C41" s="119" t="s">
        <v>280</v>
      </c>
      <c r="D41" s="119" t="s">
        <v>325</v>
      </c>
      <c r="E41" s="119" t="s">
        <v>332</v>
      </c>
      <c r="F41" s="119" t="s">
        <v>325</v>
      </c>
      <c r="G41" s="120">
        <v>229.07</v>
      </c>
      <c r="H41" s="120">
        <v>0</v>
      </c>
      <c r="I41" s="120">
        <v>229.07</v>
      </c>
      <c r="J41" s="121">
        <v>41296</v>
      </c>
      <c r="K41" s="121">
        <v>41290</v>
      </c>
      <c r="L41" s="122">
        <v>29</v>
      </c>
      <c r="M41" s="119" t="s">
        <v>240</v>
      </c>
      <c r="N41" s="119" t="s">
        <v>281</v>
      </c>
      <c r="O41" s="122">
        <v>2048</v>
      </c>
      <c r="P41" s="122">
        <v>13</v>
      </c>
      <c r="Q41" s="122">
        <v>0.22634836427939878</v>
      </c>
      <c r="R41" s="120">
        <v>229.07</v>
      </c>
      <c r="S41" s="31"/>
      <c r="T41" s="31"/>
      <c r="U41" s="119" t="s">
        <v>325</v>
      </c>
      <c r="V41" s="119" t="s">
        <v>325</v>
      </c>
      <c r="W41" s="31"/>
      <c r="X41" s="120">
        <v>0</v>
      </c>
    </row>
    <row r="42" spans="1:24" ht="18" customHeight="1">
      <c r="A42" s="117">
        <v>2133821120</v>
      </c>
      <c r="B42" s="118" t="s">
        <v>323</v>
      </c>
      <c r="C42" s="119" t="s">
        <v>194</v>
      </c>
      <c r="D42" s="119" t="s">
        <v>325</v>
      </c>
      <c r="E42" s="119" t="s">
        <v>326</v>
      </c>
      <c r="F42" s="119" t="s">
        <v>325</v>
      </c>
      <c r="G42" s="120">
        <v>180.66</v>
      </c>
      <c r="H42" s="120">
        <v>0</v>
      </c>
      <c r="I42" s="120">
        <v>180.66</v>
      </c>
      <c r="J42" s="121">
        <v>41296</v>
      </c>
      <c r="K42" s="121">
        <v>41295</v>
      </c>
      <c r="L42" s="122">
        <v>37</v>
      </c>
      <c r="M42" s="119" t="s">
        <v>327</v>
      </c>
      <c r="N42" s="119" t="s">
        <v>195</v>
      </c>
      <c r="O42" s="122">
        <v>2095</v>
      </c>
      <c r="P42" s="31"/>
      <c r="Q42" s="31"/>
      <c r="R42" s="120">
        <v>180.66</v>
      </c>
      <c r="S42" s="31"/>
      <c r="T42" s="31"/>
      <c r="U42" s="119" t="s">
        <v>325</v>
      </c>
      <c r="V42" s="119" t="s">
        <v>325</v>
      </c>
      <c r="W42" s="31"/>
      <c r="X42" s="120">
        <v>0</v>
      </c>
    </row>
    <row r="43" spans="1:24" ht="18" customHeight="1">
      <c r="A43" s="117">
        <v>2137454018</v>
      </c>
      <c r="B43" s="118" t="s">
        <v>323</v>
      </c>
      <c r="C43" s="119" t="s">
        <v>196</v>
      </c>
      <c r="D43" s="119" t="s">
        <v>325</v>
      </c>
      <c r="E43" s="119" t="s">
        <v>255</v>
      </c>
      <c r="F43" s="119" t="s">
        <v>325</v>
      </c>
      <c r="G43" s="120">
        <v>21.8</v>
      </c>
      <c r="H43" s="120">
        <v>0</v>
      </c>
      <c r="I43" s="120">
        <v>21.8</v>
      </c>
      <c r="J43" s="121">
        <v>41296</v>
      </c>
      <c r="K43" s="121">
        <v>41290</v>
      </c>
      <c r="L43" s="122">
        <v>33</v>
      </c>
      <c r="M43" s="119" t="s">
        <v>327</v>
      </c>
      <c r="N43" s="119" t="s">
        <v>197</v>
      </c>
      <c r="O43" s="122">
        <v>5</v>
      </c>
      <c r="P43" s="31"/>
      <c r="Q43" s="31"/>
      <c r="R43" s="120">
        <v>21.8</v>
      </c>
      <c r="S43" s="31"/>
      <c r="T43" s="31"/>
      <c r="U43" s="119" t="s">
        <v>325</v>
      </c>
      <c r="V43" s="119" t="s">
        <v>325</v>
      </c>
      <c r="W43" s="31"/>
      <c r="X43" s="120">
        <v>0</v>
      </c>
    </row>
    <row r="44" spans="1:24" ht="18" customHeight="1">
      <c r="A44" s="117">
        <v>2217686007</v>
      </c>
      <c r="B44" s="118" t="s">
        <v>323</v>
      </c>
      <c r="C44" s="119" t="s">
        <v>198</v>
      </c>
      <c r="D44" s="119" t="s">
        <v>325</v>
      </c>
      <c r="E44" s="119" t="s">
        <v>255</v>
      </c>
      <c r="F44" s="119" t="s">
        <v>325</v>
      </c>
      <c r="G44" s="120">
        <v>61.04</v>
      </c>
      <c r="H44" s="120">
        <v>0</v>
      </c>
      <c r="I44" s="120">
        <v>61.04</v>
      </c>
      <c r="J44" s="121">
        <v>41296</v>
      </c>
      <c r="K44" s="121">
        <v>41290</v>
      </c>
      <c r="L44" s="122">
        <v>33</v>
      </c>
      <c r="M44" s="119" t="s">
        <v>327</v>
      </c>
      <c r="N44" s="119" t="s">
        <v>199</v>
      </c>
      <c r="O44" s="122">
        <v>249</v>
      </c>
      <c r="P44" s="31"/>
      <c r="Q44" s="31"/>
      <c r="R44" s="120">
        <v>61.04</v>
      </c>
      <c r="S44" s="31"/>
      <c r="T44" s="31"/>
      <c r="U44" s="119" t="s">
        <v>325</v>
      </c>
      <c r="V44" s="119" t="s">
        <v>325</v>
      </c>
      <c r="W44" s="31"/>
      <c r="X44" s="120">
        <v>0</v>
      </c>
    </row>
    <row r="45" spans="1:24" ht="18" customHeight="1">
      <c r="A45" s="117">
        <v>2480127108</v>
      </c>
      <c r="B45" s="118" t="s">
        <v>323</v>
      </c>
      <c r="C45" s="119" t="s">
        <v>200</v>
      </c>
      <c r="D45" s="119" t="s">
        <v>325</v>
      </c>
      <c r="E45" s="119" t="s">
        <v>201</v>
      </c>
      <c r="F45" s="119" t="s">
        <v>325</v>
      </c>
      <c r="G45" s="120">
        <v>130.66</v>
      </c>
      <c r="H45" s="120">
        <v>87.21</v>
      </c>
      <c r="I45" s="120">
        <v>43.45</v>
      </c>
      <c r="J45" s="121">
        <v>41276</v>
      </c>
      <c r="K45" s="121">
        <v>41276</v>
      </c>
      <c r="L45" s="122">
        <v>33</v>
      </c>
      <c r="M45" s="119" t="s">
        <v>327</v>
      </c>
      <c r="N45" s="119" t="s">
        <v>325</v>
      </c>
      <c r="O45" s="122">
        <v>332</v>
      </c>
      <c r="P45" s="31"/>
      <c r="Q45" s="31"/>
      <c r="R45" s="120">
        <v>43.45</v>
      </c>
      <c r="S45" s="31"/>
      <c r="T45" s="31"/>
      <c r="U45" s="119" t="s">
        <v>325</v>
      </c>
      <c r="V45" s="119" t="s">
        <v>325</v>
      </c>
      <c r="W45" s="31"/>
      <c r="X45" s="120">
        <v>0</v>
      </c>
    </row>
    <row r="46" spans="1:24" ht="18" customHeight="1">
      <c r="A46" s="117">
        <v>2533809113</v>
      </c>
      <c r="B46" s="118" t="s">
        <v>323</v>
      </c>
      <c r="C46" s="119" t="s">
        <v>202</v>
      </c>
      <c r="D46" s="119" t="s">
        <v>325</v>
      </c>
      <c r="E46" s="119" t="s">
        <v>326</v>
      </c>
      <c r="F46" s="119" t="s">
        <v>277</v>
      </c>
      <c r="G46" s="120">
        <v>169.45</v>
      </c>
      <c r="H46" s="120">
        <v>0</v>
      </c>
      <c r="I46" s="120">
        <v>169.45</v>
      </c>
      <c r="J46" s="121">
        <v>41296</v>
      </c>
      <c r="K46" s="121">
        <v>41295</v>
      </c>
      <c r="L46" s="122">
        <v>37</v>
      </c>
      <c r="M46" s="119" t="s">
        <v>327</v>
      </c>
      <c r="N46" s="119" t="s">
        <v>203</v>
      </c>
      <c r="O46" s="122">
        <v>1535</v>
      </c>
      <c r="P46" s="31"/>
      <c r="Q46" s="31"/>
      <c r="R46" s="120">
        <v>139.28</v>
      </c>
      <c r="S46" s="121">
        <v>41291</v>
      </c>
      <c r="T46" s="122">
        <v>34</v>
      </c>
      <c r="U46" s="119" t="s">
        <v>327</v>
      </c>
      <c r="V46" s="119" t="s">
        <v>204</v>
      </c>
      <c r="W46" s="122">
        <v>8</v>
      </c>
      <c r="X46" s="120">
        <v>30.17</v>
      </c>
    </row>
    <row r="47" spans="1:24" ht="18" customHeight="1">
      <c r="A47" s="117">
        <v>2693810107</v>
      </c>
      <c r="B47" s="118" t="s">
        <v>323</v>
      </c>
      <c r="C47" s="119" t="s">
        <v>205</v>
      </c>
      <c r="D47" s="119" t="s">
        <v>325</v>
      </c>
      <c r="E47" s="119" t="s">
        <v>332</v>
      </c>
      <c r="F47" s="119" t="s">
        <v>325</v>
      </c>
      <c r="G47" s="120">
        <v>666.09</v>
      </c>
      <c r="H47" s="120">
        <v>0</v>
      </c>
      <c r="I47" s="120">
        <v>666.09</v>
      </c>
      <c r="J47" s="121">
        <v>41296</v>
      </c>
      <c r="K47" s="121">
        <v>41290</v>
      </c>
      <c r="L47" s="122">
        <v>33</v>
      </c>
      <c r="M47" s="119" t="s">
        <v>327</v>
      </c>
      <c r="N47" s="119" t="s">
        <v>206</v>
      </c>
      <c r="O47" s="122">
        <v>14480</v>
      </c>
      <c r="P47" s="122">
        <v>40</v>
      </c>
      <c r="Q47" s="122">
        <v>0.45707070707070707</v>
      </c>
      <c r="R47" s="120">
        <v>666.09</v>
      </c>
      <c r="S47" s="31"/>
      <c r="T47" s="31"/>
      <c r="U47" s="119" t="s">
        <v>325</v>
      </c>
      <c r="V47" s="119" t="s">
        <v>325</v>
      </c>
      <c r="W47" s="31"/>
      <c r="X47" s="120">
        <v>0</v>
      </c>
    </row>
    <row r="48" spans="1:24" ht="18" customHeight="1">
      <c r="A48" s="117">
        <v>2703112003</v>
      </c>
      <c r="B48" s="118" t="s">
        <v>323</v>
      </c>
      <c r="C48" s="119" t="s">
        <v>207</v>
      </c>
      <c r="D48" s="119" t="s">
        <v>325</v>
      </c>
      <c r="E48" s="119" t="s">
        <v>332</v>
      </c>
      <c r="F48" s="119" t="s">
        <v>325</v>
      </c>
      <c r="G48" s="120">
        <v>193.47</v>
      </c>
      <c r="H48" s="120">
        <v>107.93</v>
      </c>
      <c r="I48" s="120">
        <v>85.54</v>
      </c>
      <c r="J48" s="121">
        <v>41288</v>
      </c>
      <c r="K48" s="121">
        <v>41283</v>
      </c>
      <c r="L48" s="122">
        <v>33</v>
      </c>
      <c r="M48" s="119" t="s">
        <v>327</v>
      </c>
      <c r="N48" s="119" t="s">
        <v>208</v>
      </c>
      <c r="O48" s="122">
        <v>1016</v>
      </c>
      <c r="P48" s="122">
        <v>2</v>
      </c>
      <c r="Q48" s="122">
        <v>0.64141414141414144</v>
      </c>
      <c r="R48" s="120">
        <v>85.54</v>
      </c>
      <c r="S48" s="31"/>
      <c r="T48" s="31"/>
      <c r="U48" s="119" t="s">
        <v>325</v>
      </c>
      <c r="V48" s="119" t="s">
        <v>325</v>
      </c>
      <c r="W48" s="31"/>
      <c r="X48" s="120">
        <v>0</v>
      </c>
    </row>
    <row r="49" spans="1:24" ht="18" customHeight="1">
      <c r="A49" s="117">
        <v>2773821106</v>
      </c>
      <c r="B49" s="118" t="s">
        <v>323</v>
      </c>
      <c r="C49" s="119" t="s">
        <v>209</v>
      </c>
      <c r="D49" s="119" t="s">
        <v>325</v>
      </c>
      <c r="E49" s="119" t="s">
        <v>255</v>
      </c>
      <c r="F49" s="119" t="s">
        <v>325</v>
      </c>
      <c r="G49" s="120">
        <v>21.02</v>
      </c>
      <c r="H49" s="120">
        <v>0</v>
      </c>
      <c r="I49" s="120">
        <v>21.02</v>
      </c>
      <c r="J49" s="121">
        <v>41296</v>
      </c>
      <c r="K49" s="121">
        <v>41290</v>
      </c>
      <c r="L49" s="122">
        <v>32</v>
      </c>
      <c r="M49" s="119" t="s">
        <v>327</v>
      </c>
      <c r="N49" s="119" t="s">
        <v>210</v>
      </c>
      <c r="O49" s="122">
        <v>0</v>
      </c>
      <c r="P49" s="31"/>
      <c r="Q49" s="31"/>
      <c r="R49" s="120">
        <v>21.02</v>
      </c>
      <c r="S49" s="31"/>
      <c r="T49" s="31"/>
      <c r="U49" s="119" t="s">
        <v>325</v>
      </c>
      <c r="V49" s="119" t="s">
        <v>325</v>
      </c>
      <c r="W49" s="31"/>
      <c r="X49" s="120">
        <v>0</v>
      </c>
    </row>
    <row r="50" spans="1:24" ht="18" customHeight="1">
      <c r="A50" s="117">
        <v>2856106004</v>
      </c>
      <c r="B50" s="118" t="s">
        <v>323</v>
      </c>
      <c r="C50" s="119" t="s">
        <v>211</v>
      </c>
      <c r="D50" s="119" t="s">
        <v>325</v>
      </c>
      <c r="E50" s="119" t="s">
        <v>325</v>
      </c>
      <c r="F50" s="119" t="s">
        <v>335</v>
      </c>
      <c r="G50" s="120">
        <v>89.2</v>
      </c>
      <c r="H50" s="120">
        <v>56.43</v>
      </c>
      <c r="I50" s="120">
        <v>32.770000000000003</v>
      </c>
      <c r="J50" s="121">
        <v>41288</v>
      </c>
      <c r="K50" s="31"/>
      <c r="L50" s="31"/>
      <c r="M50" s="119" t="s">
        <v>325</v>
      </c>
      <c r="N50" s="119" t="s">
        <v>325</v>
      </c>
      <c r="O50" s="31"/>
      <c r="P50" s="31"/>
      <c r="Q50" s="31"/>
      <c r="R50" s="120">
        <v>0</v>
      </c>
      <c r="S50" s="121">
        <v>41285</v>
      </c>
      <c r="T50" s="122">
        <v>31</v>
      </c>
      <c r="U50" s="119" t="s">
        <v>327</v>
      </c>
      <c r="V50" s="119" t="s">
        <v>212</v>
      </c>
      <c r="W50" s="122">
        <v>26</v>
      </c>
      <c r="X50" s="120">
        <v>32.770000000000003</v>
      </c>
    </row>
    <row r="51" spans="1:24" ht="18" customHeight="1">
      <c r="A51" s="117">
        <v>2860127100</v>
      </c>
      <c r="B51" s="118" t="s">
        <v>323</v>
      </c>
      <c r="C51" s="119" t="s">
        <v>213</v>
      </c>
      <c r="D51" s="119" t="s">
        <v>325</v>
      </c>
      <c r="E51" s="119" t="s">
        <v>201</v>
      </c>
      <c r="F51" s="119" t="s">
        <v>325</v>
      </c>
      <c r="G51" s="120">
        <v>160.53</v>
      </c>
      <c r="H51" s="120">
        <v>107.12</v>
      </c>
      <c r="I51" s="120">
        <v>53.41</v>
      </c>
      <c r="J51" s="121">
        <v>41276</v>
      </c>
      <c r="K51" s="121">
        <v>41276</v>
      </c>
      <c r="L51" s="122">
        <v>33</v>
      </c>
      <c r="M51" s="119" t="s">
        <v>327</v>
      </c>
      <c r="N51" s="119" t="s">
        <v>325</v>
      </c>
      <c r="O51" s="122">
        <v>312</v>
      </c>
      <c r="P51" s="31"/>
      <c r="Q51" s="31"/>
      <c r="R51" s="120">
        <v>53.41</v>
      </c>
      <c r="S51" s="31"/>
      <c r="T51" s="31"/>
      <c r="U51" s="119" t="s">
        <v>325</v>
      </c>
      <c r="V51" s="119" t="s">
        <v>325</v>
      </c>
      <c r="W51" s="31"/>
      <c r="X51" s="120">
        <v>0</v>
      </c>
    </row>
    <row r="52" spans="1:24" ht="18" customHeight="1">
      <c r="A52" s="117">
        <v>3040127109</v>
      </c>
      <c r="B52" s="118" t="s">
        <v>323</v>
      </c>
      <c r="C52" s="119" t="s">
        <v>214</v>
      </c>
      <c r="D52" s="119" t="s">
        <v>325</v>
      </c>
      <c r="E52" s="119" t="s">
        <v>201</v>
      </c>
      <c r="F52" s="119" t="s">
        <v>325</v>
      </c>
      <c r="G52" s="120">
        <v>165.91</v>
      </c>
      <c r="H52" s="120">
        <v>110.72</v>
      </c>
      <c r="I52" s="120">
        <v>55.19</v>
      </c>
      <c r="J52" s="121">
        <v>41276</v>
      </c>
      <c r="K52" s="121">
        <v>41276</v>
      </c>
      <c r="L52" s="122">
        <v>33</v>
      </c>
      <c r="M52" s="119" t="s">
        <v>327</v>
      </c>
      <c r="N52" s="119" t="s">
        <v>325</v>
      </c>
      <c r="O52" s="122">
        <v>326</v>
      </c>
      <c r="P52" s="31"/>
      <c r="Q52" s="31"/>
      <c r="R52" s="120">
        <v>55.19</v>
      </c>
      <c r="S52" s="31"/>
      <c r="T52" s="31"/>
      <c r="U52" s="119" t="s">
        <v>325</v>
      </c>
      <c r="V52" s="119" t="s">
        <v>325</v>
      </c>
      <c r="W52" s="31"/>
      <c r="X52" s="120">
        <v>0</v>
      </c>
    </row>
    <row r="53" spans="1:24" ht="18" customHeight="1">
      <c r="A53" s="117">
        <v>3128810107</v>
      </c>
      <c r="B53" s="118" t="s">
        <v>323</v>
      </c>
      <c r="C53" s="119" t="s">
        <v>215</v>
      </c>
      <c r="D53" s="119" t="s">
        <v>325</v>
      </c>
      <c r="E53" s="119" t="s">
        <v>326</v>
      </c>
      <c r="F53" s="119" t="s">
        <v>325</v>
      </c>
      <c r="G53" s="120">
        <v>63.67</v>
      </c>
      <c r="H53" s="120">
        <v>42.21</v>
      </c>
      <c r="I53" s="120">
        <v>21.46</v>
      </c>
      <c r="J53" s="121">
        <v>41288</v>
      </c>
      <c r="K53" s="121">
        <v>41285</v>
      </c>
      <c r="L53" s="122">
        <v>31</v>
      </c>
      <c r="M53" s="119" t="s">
        <v>327</v>
      </c>
      <c r="N53" s="119" t="s">
        <v>216</v>
      </c>
      <c r="O53" s="122">
        <v>6</v>
      </c>
      <c r="P53" s="31"/>
      <c r="Q53" s="31"/>
      <c r="R53" s="120">
        <v>21.46</v>
      </c>
      <c r="S53" s="31"/>
      <c r="T53" s="31"/>
      <c r="U53" s="119" t="s">
        <v>325</v>
      </c>
      <c r="V53" s="119" t="s">
        <v>325</v>
      </c>
      <c r="W53" s="31"/>
      <c r="X53" s="120">
        <v>0</v>
      </c>
    </row>
    <row r="54" spans="1:24" ht="18" customHeight="1">
      <c r="A54" s="117">
        <v>3195056004</v>
      </c>
      <c r="B54" s="118" t="s">
        <v>323</v>
      </c>
      <c r="C54" s="119" t="s">
        <v>217</v>
      </c>
      <c r="D54" s="119" t="s">
        <v>325</v>
      </c>
      <c r="E54" s="119" t="s">
        <v>326</v>
      </c>
      <c r="F54" s="119" t="s">
        <v>325</v>
      </c>
      <c r="G54" s="120">
        <v>22.2</v>
      </c>
      <c r="H54" s="120">
        <v>0</v>
      </c>
      <c r="I54" s="120">
        <v>22.2</v>
      </c>
      <c r="J54" s="121">
        <v>41296</v>
      </c>
      <c r="K54" s="121">
        <v>41290</v>
      </c>
      <c r="L54" s="122">
        <v>33</v>
      </c>
      <c r="M54" s="119" t="s">
        <v>327</v>
      </c>
      <c r="N54" s="119" t="s">
        <v>218</v>
      </c>
      <c r="O54" s="122">
        <v>16</v>
      </c>
      <c r="P54" s="31"/>
      <c r="Q54" s="31"/>
      <c r="R54" s="120">
        <v>22.2</v>
      </c>
      <c r="S54" s="31"/>
      <c r="T54" s="31"/>
      <c r="U54" s="119" t="s">
        <v>325</v>
      </c>
      <c r="V54" s="119" t="s">
        <v>325</v>
      </c>
      <c r="W54" s="31"/>
      <c r="X54" s="120">
        <v>0</v>
      </c>
    </row>
    <row r="55" spans="1:24" ht="18" customHeight="1">
      <c r="A55" s="117">
        <v>3273812135</v>
      </c>
      <c r="B55" s="118" t="s">
        <v>323</v>
      </c>
      <c r="C55" s="119" t="s">
        <v>219</v>
      </c>
      <c r="D55" s="119" t="s">
        <v>325</v>
      </c>
      <c r="E55" s="119" t="s">
        <v>326</v>
      </c>
      <c r="F55" s="119" t="s">
        <v>277</v>
      </c>
      <c r="G55" s="120">
        <v>213.49</v>
      </c>
      <c r="H55" s="120">
        <v>0</v>
      </c>
      <c r="I55" s="120">
        <v>213.49</v>
      </c>
      <c r="J55" s="121">
        <v>41296</v>
      </c>
      <c r="K55" s="121">
        <v>41296</v>
      </c>
      <c r="L55" s="122">
        <v>38</v>
      </c>
      <c r="M55" s="119" t="s">
        <v>327</v>
      </c>
      <c r="N55" s="119" t="s">
        <v>220</v>
      </c>
      <c r="O55" s="122">
        <v>2194</v>
      </c>
      <c r="P55" s="31"/>
      <c r="Q55" s="31"/>
      <c r="R55" s="120">
        <v>188.71</v>
      </c>
      <c r="S55" s="121">
        <v>41290</v>
      </c>
      <c r="T55" s="122">
        <v>32</v>
      </c>
      <c r="U55" s="119" t="s">
        <v>327</v>
      </c>
      <c r="V55" s="119" t="s">
        <v>221</v>
      </c>
      <c r="W55" s="122">
        <v>2</v>
      </c>
      <c r="X55" s="120">
        <v>24.78</v>
      </c>
    </row>
    <row r="56" spans="1:24" ht="18" customHeight="1">
      <c r="A56" s="117">
        <v>3293820115</v>
      </c>
      <c r="B56" s="118" t="s">
        <v>323</v>
      </c>
      <c r="C56" s="119" t="s">
        <v>222</v>
      </c>
      <c r="D56" s="119" t="s">
        <v>325</v>
      </c>
      <c r="E56" s="119" t="s">
        <v>325</v>
      </c>
      <c r="F56" s="119" t="s">
        <v>335</v>
      </c>
      <c r="G56" s="120">
        <v>50.64</v>
      </c>
      <c r="H56" s="120">
        <v>0</v>
      </c>
      <c r="I56" s="120">
        <v>50.64</v>
      </c>
      <c r="J56" s="121">
        <v>41296</v>
      </c>
      <c r="K56" s="31"/>
      <c r="L56" s="31"/>
      <c r="M56" s="119" t="s">
        <v>325</v>
      </c>
      <c r="N56" s="119" t="s">
        <v>325</v>
      </c>
      <c r="O56" s="31"/>
      <c r="P56" s="31"/>
      <c r="Q56" s="31"/>
      <c r="R56" s="120">
        <v>0</v>
      </c>
      <c r="S56" s="121">
        <v>41291</v>
      </c>
      <c r="T56" s="122">
        <v>34</v>
      </c>
      <c r="U56" s="119" t="s">
        <v>327</v>
      </c>
      <c r="V56" s="119" t="s">
        <v>223</v>
      </c>
      <c r="W56" s="122">
        <v>69</v>
      </c>
      <c r="X56" s="120">
        <v>50.64</v>
      </c>
    </row>
    <row r="57" spans="1:24" ht="18" customHeight="1">
      <c r="A57" s="117">
        <v>3448808118</v>
      </c>
      <c r="B57" s="118" t="s">
        <v>323</v>
      </c>
      <c r="C57" s="119" t="s">
        <v>224</v>
      </c>
      <c r="D57" s="119" t="s">
        <v>325</v>
      </c>
      <c r="E57" s="119" t="s">
        <v>326</v>
      </c>
      <c r="F57" s="119" t="s">
        <v>325</v>
      </c>
      <c r="G57" s="120">
        <v>247.79</v>
      </c>
      <c r="H57" s="120">
        <v>154.07</v>
      </c>
      <c r="I57" s="120">
        <v>93.72</v>
      </c>
      <c r="J57" s="121">
        <v>41288</v>
      </c>
      <c r="K57" s="121">
        <v>41288</v>
      </c>
      <c r="L57" s="122">
        <v>34</v>
      </c>
      <c r="M57" s="119" t="s">
        <v>327</v>
      </c>
      <c r="N57" s="119" t="s">
        <v>225</v>
      </c>
      <c r="O57" s="122">
        <v>986</v>
      </c>
      <c r="P57" s="31"/>
      <c r="Q57" s="31"/>
      <c r="R57" s="120">
        <v>93.72</v>
      </c>
      <c r="S57" s="31"/>
      <c r="T57" s="31"/>
      <c r="U57" s="119" t="s">
        <v>325</v>
      </c>
      <c r="V57" s="119" t="s">
        <v>325</v>
      </c>
      <c r="W57" s="31"/>
      <c r="X57" s="120">
        <v>0</v>
      </c>
    </row>
    <row r="58" spans="1:24" ht="18" customHeight="1">
      <c r="A58" s="117">
        <v>3632395006</v>
      </c>
      <c r="B58" s="118" t="s">
        <v>323</v>
      </c>
      <c r="C58" s="119" t="s">
        <v>226</v>
      </c>
      <c r="D58" s="119" t="s">
        <v>325</v>
      </c>
      <c r="E58" s="119" t="s">
        <v>326</v>
      </c>
      <c r="F58" s="119" t="s">
        <v>325</v>
      </c>
      <c r="G58" s="120">
        <v>43.53</v>
      </c>
      <c r="H58" s="120">
        <v>21.84</v>
      </c>
      <c r="I58" s="120">
        <v>21.69</v>
      </c>
      <c r="J58" s="121">
        <v>41288</v>
      </c>
      <c r="K58" s="121">
        <v>41285</v>
      </c>
      <c r="L58" s="122">
        <v>31</v>
      </c>
      <c r="M58" s="119" t="s">
        <v>327</v>
      </c>
      <c r="N58" s="119" t="s">
        <v>227</v>
      </c>
      <c r="O58" s="122">
        <v>9</v>
      </c>
      <c r="P58" s="31"/>
      <c r="Q58" s="31"/>
      <c r="R58" s="120">
        <v>21.69</v>
      </c>
      <c r="S58" s="31"/>
      <c r="T58" s="31"/>
      <c r="U58" s="119" t="s">
        <v>325</v>
      </c>
      <c r="V58" s="119" t="s">
        <v>325</v>
      </c>
      <c r="W58" s="31"/>
      <c r="X58" s="120">
        <v>0</v>
      </c>
    </row>
    <row r="59" spans="1:24" ht="18" customHeight="1">
      <c r="A59" s="117">
        <v>3753663109</v>
      </c>
      <c r="B59" s="118" t="s">
        <v>323</v>
      </c>
      <c r="C59" s="119" t="s">
        <v>228</v>
      </c>
      <c r="D59" s="119" t="s">
        <v>325</v>
      </c>
      <c r="E59" s="119" t="s">
        <v>330</v>
      </c>
      <c r="F59" s="119" t="s">
        <v>325</v>
      </c>
      <c r="G59" s="120">
        <v>208.93</v>
      </c>
      <c r="H59" s="120">
        <v>0</v>
      </c>
      <c r="I59" s="120">
        <v>208.93</v>
      </c>
      <c r="J59" s="121">
        <v>41296</v>
      </c>
      <c r="K59" s="121">
        <v>41296</v>
      </c>
      <c r="L59" s="122">
        <v>34</v>
      </c>
      <c r="M59" s="119" t="s">
        <v>327</v>
      </c>
      <c r="N59" s="119" t="s">
        <v>325</v>
      </c>
      <c r="O59" s="122">
        <v>254</v>
      </c>
      <c r="P59" s="31"/>
      <c r="Q59" s="31"/>
      <c r="R59" s="120">
        <v>208.93</v>
      </c>
      <c r="S59" s="31"/>
      <c r="T59" s="31"/>
      <c r="U59" s="119" t="s">
        <v>325</v>
      </c>
      <c r="V59" s="119" t="s">
        <v>325</v>
      </c>
      <c r="W59" s="31"/>
      <c r="X59" s="120">
        <v>0</v>
      </c>
    </row>
    <row r="60" spans="1:24" ht="18" customHeight="1">
      <c r="A60" s="117">
        <v>3798043001</v>
      </c>
      <c r="B60" s="118" t="s">
        <v>323</v>
      </c>
      <c r="C60" s="119" t="s">
        <v>229</v>
      </c>
      <c r="D60" s="119" t="s">
        <v>325</v>
      </c>
      <c r="E60" s="119" t="s">
        <v>255</v>
      </c>
      <c r="F60" s="119" t="s">
        <v>325</v>
      </c>
      <c r="G60" s="120">
        <v>66.44</v>
      </c>
      <c r="H60" s="120">
        <v>44.06</v>
      </c>
      <c r="I60" s="120">
        <v>22.38</v>
      </c>
      <c r="J60" s="121">
        <v>41263</v>
      </c>
      <c r="K60" s="121">
        <v>41260</v>
      </c>
      <c r="L60" s="122">
        <v>32</v>
      </c>
      <c r="M60" s="119" t="s">
        <v>327</v>
      </c>
      <c r="N60" s="119" t="s">
        <v>230</v>
      </c>
      <c r="O60" s="122">
        <v>9</v>
      </c>
      <c r="P60" s="31"/>
      <c r="Q60" s="31"/>
      <c r="R60" s="120">
        <v>22.38</v>
      </c>
      <c r="S60" s="31"/>
      <c r="T60" s="31"/>
      <c r="U60" s="119" t="s">
        <v>325</v>
      </c>
      <c r="V60" s="119" t="s">
        <v>325</v>
      </c>
      <c r="W60" s="31"/>
      <c r="X60" s="120">
        <v>0</v>
      </c>
    </row>
    <row r="61" spans="1:24" ht="18" customHeight="1">
      <c r="A61" s="117">
        <v>3908811104</v>
      </c>
      <c r="B61" s="118" t="s">
        <v>323</v>
      </c>
      <c r="C61" s="119" t="s">
        <v>231</v>
      </c>
      <c r="D61" s="119" t="s">
        <v>325</v>
      </c>
      <c r="E61" s="119" t="s">
        <v>326</v>
      </c>
      <c r="F61" s="119" t="s">
        <v>325</v>
      </c>
      <c r="G61" s="120">
        <v>119.71</v>
      </c>
      <c r="H61" s="120">
        <v>68.12</v>
      </c>
      <c r="I61" s="120">
        <v>51.59</v>
      </c>
      <c r="J61" s="121">
        <v>41288</v>
      </c>
      <c r="K61" s="121">
        <v>41284</v>
      </c>
      <c r="L61" s="122">
        <v>30</v>
      </c>
      <c r="M61" s="119" t="s">
        <v>327</v>
      </c>
      <c r="N61" s="119" t="s">
        <v>232</v>
      </c>
      <c r="O61" s="122">
        <v>415</v>
      </c>
      <c r="P61" s="31"/>
      <c r="Q61" s="31"/>
      <c r="R61" s="120">
        <v>51.59</v>
      </c>
      <c r="S61" s="31"/>
      <c r="T61" s="31"/>
      <c r="U61" s="119" t="s">
        <v>325</v>
      </c>
      <c r="V61" s="119" t="s">
        <v>325</v>
      </c>
      <c r="W61" s="31"/>
      <c r="X61" s="120">
        <v>0</v>
      </c>
    </row>
    <row r="62" spans="1:24" ht="18" customHeight="1">
      <c r="A62" s="117">
        <v>4153807100</v>
      </c>
      <c r="B62" s="118" t="s">
        <v>323</v>
      </c>
      <c r="C62" s="119" t="s">
        <v>233</v>
      </c>
      <c r="D62" s="119" t="s">
        <v>325</v>
      </c>
      <c r="E62" s="119" t="s">
        <v>326</v>
      </c>
      <c r="F62" s="119" t="s">
        <v>277</v>
      </c>
      <c r="G62" s="120">
        <v>823.21</v>
      </c>
      <c r="H62" s="120">
        <v>0</v>
      </c>
      <c r="I62" s="120">
        <v>823.21</v>
      </c>
      <c r="J62" s="121">
        <v>41296</v>
      </c>
      <c r="K62" s="121">
        <v>41290</v>
      </c>
      <c r="L62" s="122">
        <v>33</v>
      </c>
      <c r="M62" s="119" t="s">
        <v>327</v>
      </c>
      <c r="N62" s="119" t="s">
        <v>234</v>
      </c>
      <c r="O62" s="122">
        <v>607</v>
      </c>
      <c r="P62" s="31"/>
      <c r="Q62" s="31"/>
      <c r="R62" s="120">
        <v>65.819999999999993</v>
      </c>
      <c r="S62" s="121">
        <v>41290</v>
      </c>
      <c r="T62" s="122">
        <v>33</v>
      </c>
      <c r="U62" s="119" t="s">
        <v>327</v>
      </c>
      <c r="V62" s="119" t="s">
        <v>235</v>
      </c>
      <c r="W62" s="122">
        <v>894</v>
      </c>
      <c r="X62" s="120">
        <v>757.39</v>
      </c>
    </row>
    <row r="63" spans="1:24" ht="18" customHeight="1">
      <c r="A63" s="117">
        <v>4153820112</v>
      </c>
      <c r="B63" s="118" t="s">
        <v>323</v>
      </c>
      <c r="C63" s="119" t="s">
        <v>147</v>
      </c>
      <c r="D63" s="119" t="s">
        <v>325</v>
      </c>
      <c r="E63" s="119" t="s">
        <v>332</v>
      </c>
      <c r="F63" s="119" t="s">
        <v>325</v>
      </c>
      <c r="G63" s="120">
        <v>69.58</v>
      </c>
      <c r="H63" s="120">
        <v>0</v>
      </c>
      <c r="I63" s="120">
        <v>69.58</v>
      </c>
      <c r="J63" s="121">
        <v>41296</v>
      </c>
      <c r="K63" s="121">
        <v>41290</v>
      </c>
      <c r="L63" s="122">
        <v>32</v>
      </c>
      <c r="M63" s="119" t="s">
        <v>240</v>
      </c>
      <c r="N63" s="119" t="s">
        <v>148</v>
      </c>
      <c r="O63" s="122">
        <v>417</v>
      </c>
      <c r="P63" s="122">
        <v>1.1000000000000001</v>
      </c>
      <c r="Q63" s="122">
        <v>0.49360795454545459</v>
      </c>
      <c r="R63" s="120">
        <v>69.58</v>
      </c>
      <c r="S63" s="31"/>
      <c r="T63" s="31"/>
      <c r="U63" s="119" t="s">
        <v>325</v>
      </c>
      <c r="V63" s="119" t="s">
        <v>325</v>
      </c>
      <c r="W63" s="31"/>
      <c r="X63" s="120">
        <v>0</v>
      </c>
    </row>
    <row r="64" spans="1:24" ht="18" customHeight="1">
      <c r="A64" s="117">
        <v>4308810115</v>
      </c>
      <c r="B64" s="118" t="s">
        <v>323</v>
      </c>
      <c r="C64" s="119" t="s">
        <v>149</v>
      </c>
      <c r="D64" s="119" t="s">
        <v>325</v>
      </c>
      <c r="E64" s="119" t="s">
        <v>332</v>
      </c>
      <c r="F64" s="119" t="s">
        <v>325</v>
      </c>
      <c r="G64" s="120">
        <v>318.70999999999998</v>
      </c>
      <c r="H64" s="120">
        <v>178.22</v>
      </c>
      <c r="I64" s="120">
        <v>140.49</v>
      </c>
      <c r="J64" s="121">
        <v>41288</v>
      </c>
      <c r="K64" s="121">
        <v>41288</v>
      </c>
      <c r="L64" s="122">
        <v>34</v>
      </c>
      <c r="M64" s="119" t="s">
        <v>327</v>
      </c>
      <c r="N64" s="119" t="s">
        <v>150</v>
      </c>
      <c r="O64" s="122">
        <v>1288</v>
      </c>
      <c r="P64" s="122">
        <v>6.3</v>
      </c>
      <c r="Q64" s="122">
        <v>0.25054466230936823</v>
      </c>
      <c r="R64" s="120">
        <v>140.49</v>
      </c>
      <c r="S64" s="31"/>
      <c r="T64" s="31"/>
      <c r="U64" s="119" t="s">
        <v>325</v>
      </c>
      <c r="V64" s="119" t="s">
        <v>325</v>
      </c>
      <c r="W64" s="31"/>
      <c r="X64" s="120">
        <v>0</v>
      </c>
    </row>
    <row r="65" spans="1:24" ht="18" customHeight="1">
      <c r="A65" s="117">
        <v>4399122004</v>
      </c>
      <c r="B65" s="118" t="s">
        <v>323</v>
      </c>
      <c r="C65" s="119" t="s">
        <v>151</v>
      </c>
      <c r="D65" s="119" t="s">
        <v>325</v>
      </c>
      <c r="E65" s="119" t="s">
        <v>325</v>
      </c>
      <c r="F65" s="119" t="s">
        <v>335</v>
      </c>
      <c r="G65" s="120">
        <v>69.48</v>
      </c>
      <c r="H65" s="120">
        <v>0</v>
      </c>
      <c r="I65" s="120">
        <v>69.48</v>
      </c>
      <c r="J65" s="121">
        <v>41296</v>
      </c>
      <c r="K65" s="31"/>
      <c r="L65" s="31"/>
      <c r="M65" s="119" t="s">
        <v>325</v>
      </c>
      <c r="N65" s="119" t="s">
        <v>325</v>
      </c>
      <c r="O65" s="31"/>
      <c r="P65" s="31"/>
      <c r="Q65" s="31"/>
      <c r="R65" s="120">
        <v>0</v>
      </c>
      <c r="S65" s="121">
        <v>41290</v>
      </c>
      <c r="T65" s="122">
        <v>33</v>
      </c>
      <c r="U65" s="119" t="s">
        <v>327</v>
      </c>
      <c r="V65" s="119" t="s">
        <v>152</v>
      </c>
      <c r="W65" s="122">
        <v>116</v>
      </c>
      <c r="X65" s="120">
        <v>69.48</v>
      </c>
    </row>
    <row r="66" spans="1:24" ht="18" customHeight="1">
      <c r="A66" s="117">
        <v>4513814101</v>
      </c>
      <c r="B66" s="118" t="s">
        <v>323</v>
      </c>
      <c r="C66" s="119" t="s">
        <v>153</v>
      </c>
      <c r="D66" s="119" t="s">
        <v>325</v>
      </c>
      <c r="E66" s="119" t="s">
        <v>332</v>
      </c>
      <c r="F66" s="119" t="s">
        <v>277</v>
      </c>
      <c r="G66" s="120">
        <v>508.79</v>
      </c>
      <c r="H66" s="120">
        <v>0</v>
      </c>
      <c r="I66" s="120">
        <v>508.79</v>
      </c>
      <c r="J66" s="121">
        <v>41296</v>
      </c>
      <c r="K66" s="121">
        <v>41296</v>
      </c>
      <c r="L66" s="122">
        <v>34</v>
      </c>
      <c r="M66" s="119" t="s">
        <v>327</v>
      </c>
      <c r="N66" s="119" t="s">
        <v>154</v>
      </c>
      <c r="O66" s="122">
        <v>2805</v>
      </c>
      <c r="P66" s="122">
        <v>8.4</v>
      </c>
      <c r="Q66" s="122">
        <v>0.40922619047619052</v>
      </c>
      <c r="R66" s="120">
        <v>179.72</v>
      </c>
      <c r="S66" s="121">
        <v>41290</v>
      </c>
      <c r="T66" s="122">
        <v>32</v>
      </c>
      <c r="U66" s="119" t="s">
        <v>327</v>
      </c>
      <c r="V66" s="119" t="s">
        <v>155</v>
      </c>
      <c r="W66" s="122">
        <v>345</v>
      </c>
      <c r="X66" s="120">
        <v>329.07</v>
      </c>
    </row>
    <row r="67" spans="1:24" ht="18" customHeight="1">
      <c r="A67" s="117">
        <v>4533881110</v>
      </c>
      <c r="B67" s="118" t="s">
        <v>323</v>
      </c>
      <c r="C67" s="119" t="s">
        <v>156</v>
      </c>
      <c r="D67" s="119" t="s">
        <v>157</v>
      </c>
      <c r="E67" s="119" t="s">
        <v>158</v>
      </c>
      <c r="F67" s="119" t="s">
        <v>325</v>
      </c>
      <c r="G67" s="120">
        <v>27.54</v>
      </c>
      <c r="H67" s="120">
        <v>0</v>
      </c>
      <c r="I67" s="120">
        <v>27.54</v>
      </c>
      <c r="J67" s="121">
        <v>41296</v>
      </c>
      <c r="K67" s="121">
        <v>41296</v>
      </c>
      <c r="L67" s="122">
        <v>34</v>
      </c>
      <c r="M67" s="119" t="s">
        <v>327</v>
      </c>
      <c r="N67" s="119" t="s">
        <v>325</v>
      </c>
      <c r="O67" s="122">
        <v>186</v>
      </c>
      <c r="P67" s="31"/>
      <c r="Q67" s="31"/>
      <c r="R67" s="120">
        <v>27.54</v>
      </c>
      <c r="S67" s="31"/>
      <c r="T67" s="31"/>
      <c r="U67" s="119" t="s">
        <v>325</v>
      </c>
      <c r="V67" s="119" t="s">
        <v>325</v>
      </c>
      <c r="W67" s="31"/>
      <c r="X67" s="120">
        <v>0</v>
      </c>
    </row>
    <row r="68" spans="1:24" ht="18" customHeight="1">
      <c r="A68" s="117">
        <v>4568811105</v>
      </c>
      <c r="B68" s="118" t="s">
        <v>323</v>
      </c>
      <c r="C68" s="119" t="s">
        <v>159</v>
      </c>
      <c r="D68" s="119" t="s">
        <v>325</v>
      </c>
      <c r="E68" s="119" t="s">
        <v>326</v>
      </c>
      <c r="F68" s="119" t="s">
        <v>325</v>
      </c>
      <c r="G68" s="120">
        <v>168.72</v>
      </c>
      <c r="H68" s="120">
        <v>101.36</v>
      </c>
      <c r="I68" s="120">
        <v>67.36</v>
      </c>
      <c r="J68" s="121">
        <v>41288</v>
      </c>
      <c r="K68" s="121">
        <v>41284</v>
      </c>
      <c r="L68" s="122">
        <v>30</v>
      </c>
      <c r="M68" s="119" t="s">
        <v>327</v>
      </c>
      <c r="N68" s="119" t="s">
        <v>160</v>
      </c>
      <c r="O68" s="122">
        <v>629</v>
      </c>
      <c r="P68" s="31"/>
      <c r="Q68" s="31"/>
      <c r="R68" s="120">
        <v>67.36</v>
      </c>
      <c r="S68" s="31"/>
      <c r="T68" s="31"/>
      <c r="U68" s="119" t="s">
        <v>325</v>
      </c>
      <c r="V68" s="119" t="s">
        <v>325</v>
      </c>
      <c r="W68" s="31"/>
      <c r="X68" s="120">
        <v>0</v>
      </c>
    </row>
    <row r="69" spans="1:24" ht="18" customHeight="1">
      <c r="A69" s="117">
        <v>4588811101</v>
      </c>
      <c r="B69" s="118" t="s">
        <v>323</v>
      </c>
      <c r="C69" s="119" t="s">
        <v>159</v>
      </c>
      <c r="D69" s="119" t="s">
        <v>325</v>
      </c>
      <c r="E69" s="119" t="s">
        <v>326</v>
      </c>
      <c r="F69" s="119" t="s">
        <v>325</v>
      </c>
      <c r="G69" s="120">
        <v>45</v>
      </c>
      <c r="H69" s="120">
        <v>21.02</v>
      </c>
      <c r="I69" s="120">
        <v>23.98</v>
      </c>
      <c r="J69" s="121">
        <v>41288</v>
      </c>
      <c r="K69" s="121">
        <v>41288</v>
      </c>
      <c r="L69" s="122">
        <v>34</v>
      </c>
      <c r="M69" s="119" t="s">
        <v>327</v>
      </c>
      <c r="N69" s="119" t="s">
        <v>161</v>
      </c>
      <c r="O69" s="122">
        <v>40</v>
      </c>
      <c r="P69" s="31"/>
      <c r="Q69" s="31"/>
      <c r="R69" s="120">
        <v>23.98</v>
      </c>
      <c r="S69" s="31"/>
      <c r="T69" s="31"/>
      <c r="U69" s="119" t="s">
        <v>325</v>
      </c>
      <c r="V69" s="119" t="s">
        <v>325</v>
      </c>
      <c r="W69" s="31"/>
      <c r="X69" s="120">
        <v>0</v>
      </c>
    </row>
    <row r="70" spans="1:24" ht="18" customHeight="1">
      <c r="A70" s="117">
        <v>4794009102</v>
      </c>
      <c r="B70" s="118" t="s">
        <v>323</v>
      </c>
      <c r="C70" s="119" t="s">
        <v>162</v>
      </c>
      <c r="D70" s="119" t="s">
        <v>325</v>
      </c>
      <c r="E70" s="119" t="s">
        <v>255</v>
      </c>
      <c r="F70" s="119" t="s">
        <v>163</v>
      </c>
      <c r="G70" s="120">
        <v>636.72</v>
      </c>
      <c r="H70" s="120">
        <v>292.89999999999998</v>
      </c>
      <c r="I70" s="120">
        <v>343.82</v>
      </c>
      <c r="J70" s="121">
        <v>41263</v>
      </c>
      <c r="K70" s="121">
        <v>41260</v>
      </c>
      <c r="L70" s="122">
        <v>32</v>
      </c>
      <c r="M70" s="119" t="s">
        <v>327</v>
      </c>
      <c r="N70" s="119" t="s">
        <v>164</v>
      </c>
      <c r="O70" s="122">
        <v>1952</v>
      </c>
      <c r="P70" s="31"/>
      <c r="Q70" s="31"/>
      <c r="R70" s="120">
        <v>317.88</v>
      </c>
      <c r="S70" s="121">
        <v>41260</v>
      </c>
      <c r="T70" s="122">
        <v>32</v>
      </c>
      <c r="U70" s="119" t="s">
        <v>327</v>
      </c>
      <c r="V70" s="119" t="s">
        <v>165</v>
      </c>
      <c r="W70" s="122">
        <v>4</v>
      </c>
      <c r="X70" s="120">
        <v>25.94</v>
      </c>
    </row>
    <row r="71" spans="1:24" ht="18" customHeight="1">
      <c r="A71" s="117">
        <v>5048811100</v>
      </c>
      <c r="B71" s="118" t="s">
        <v>323</v>
      </c>
      <c r="C71" s="119" t="s">
        <v>166</v>
      </c>
      <c r="D71" s="119" t="s">
        <v>325</v>
      </c>
      <c r="E71" s="119" t="s">
        <v>326</v>
      </c>
      <c r="F71" s="119" t="s">
        <v>325</v>
      </c>
      <c r="G71" s="120">
        <v>88.28</v>
      </c>
      <c r="H71" s="120">
        <v>46.54</v>
      </c>
      <c r="I71" s="120">
        <v>41.74</v>
      </c>
      <c r="J71" s="121">
        <v>41288</v>
      </c>
      <c r="K71" s="121">
        <v>41285</v>
      </c>
      <c r="L71" s="122">
        <v>31</v>
      </c>
      <c r="M71" s="119" t="s">
        <v>327</v>
      </c>
      <c r="N71" s="119" t="s">
        <v>167</v>
      </c>
      <c r="O71" s="122">
        <v>281</v>
      </c>
      <c r="P71" s="31"/>
      <c r="Q71" s="31"/>
      <c r="R71" s="120">
        <v>41.74</v>
      </c>
      <c r="S71" s="31"/>
      <c r="T71" s="31"/>
      <c r="U71" s="119" t="s">
        <v>325</v>
      </c>
      <c r="V71" s="119" t="s">
        <v>325</v>
      </c>
      <c r="W71" s="31"/>
      <c r="X71" s="120">
        <v>0</v>
      </c>
    </row>
    <row r="72" spans="1:24" ht="18" customHeight="1">
      <c r="A72" s="117">
        <v>5293880104</v>
      </c>
      <c r="B72" s="118" t="s">
        <v>323</v>
      </c>
      <c r="C72" s="119" t="s">
        <v>168</v>
      </c>
      <c r="D72" s="119" t="s">
        <v>325</v>
      </c>
      <c r="E72" s="119" t="s">
        <v>330</v>
      </c>
      <c r="F72" s="119" t="s">
        <v>325</v>
      </c>
      <c r="G72" s="120">
        <v>11693.21</v>
      </c>
      <c r="H72" s="120">
        <v>0</v>
      </c>
      <c r="I72" s="120">
        <v>11693.21</v>
      </c>
      <c r="J72" s="121">
        <v>41296</v>
      </c>
      <c r="K72" s="121">
        <v>41296</v>
      </c>
      <c r="L72" s="122">
        <v>34</v>
      </c>
      <c r="M72" s="119" t="s">
        <v>327</v>
      </c>
      <c r="N72" s="119" t="s">
        <v>325</v>
      </c>
      <c r="O72" s="122">
        <v>46402</v>
      </c>
      <c r="P72" s="31"/>
      <c r="Q72" s="31"/>
      <c r="R72" s="120">
        <v>11693.21</v>
      </c>
      <c r="S72" s="31"/>
      <c r="T72" s="31"/>
      <c r="U72" s="119" t="s">
        <v>325</v>
      </c>
      <c r="V72" s="119" t="s">
        <v>325</v>
      </c>
      <c r="W72" s="31"/>
      <c r="X72" s="120">
        <v>0</v>
      </c>
    </row>
    <row r="73" spans="1:24" ht="18" customHeight="1">
      <c r="A73" s="117">
        <v>5333812119</v>
      </c>
      <c r="B73" s="118" t="s">
        <v>323</v>
      </c>
      <c r="C73" s="119" t="s">
        <v>169</v>
      </c>
      <c r="D73" s="119" t="s">
        <v>325</v>
      </c>
      <c r="E73" s="119" t="s">
        <v>326</v>
      </c>
      <c r="F73" s="119" t="s">
        <v>325</v>
      </c>
      <c r="G73" s="120">
        <v>46.4</v>
      </c>
      <c r="H73" s="120">
        <v>0</v>
      </c>
      <c r="I73" s="120">
        <v>46.4</v>
      </c>
      <c r="J73" s="121">
        <v>41296</v>
      </c>
      <c r="K73" s="121">
        <v>41290</v>
      </c>
      <c r="L73" s="122">
        <v>33</v>
      </c>
      <c r="M73" s="119" t="s">
        <v>327</v>
      </c>
      <c r="N73" s="119" t="s">
        <v>170</v>
      </c>
      <c r="O73" s="122">
        <v>344</v>
      </c>
      <c r="P73" s="31"/>
      <c r="Q73" s="31"/>
      <c r="R73" s="120">
        <v>46.4</v>
      </c>
      <c r="S73" s="31"/>
      <c r="T73" s="31"/>
      <c r="U73" s="119" t="s">
        <v>325</v>
      </c>
      <c r="V73" s="119" t="s">
        <v>325</v>
      </c>
      <c r="W73" s="31"/>
      <c r="X73" s="120">
        <v>0</v>
      </c>
    </row>
    <row r="74" spans="1:24" ht="18" customHeight="1">
      <c r="A74" s="117">
        <v>5513812108</v>
      </c>
      <c r="B74" s="118" t="s">
        <v>323</v>
      </c>
      <c r="C74" s="119" t="s">
        <v>337</v>
      </c>
      <c r="D74" s="119" t="s">
        <v>325</v>
      </c>
      <c r="E74" s="119" t="s">
        <v>332</v>
      </c>
      <c r="F74" s="119" t="s">
        <v>325</v>
      </c>
      <c r="G74" s="120">
        <v>188.78</v>
      </c>
      <c r="H74" s="120">
        <v>0</v>
      </c>
      <c r="I74" s="120">
        <v>188.78</v>
      </c>
      <c r="J74" s="121">
        <v>41296</v>
      </c>
      <c r="K74" s="121">
        <v>41290</v>
      </c>
      <c r="L74" s="122">
        <v>29</v>
      </c>
      <c r="M74" s="119" t="s">
        <v>240</v>
      </c>
      <c r="N74" s="119" t="s">
        <v>171</v>
      </c>
      <c r="O74" s="122">
        <v>2189</v>
      </c>
      <c r="P74" s="122">
        <v>9.6</v>
      </c>
      <c r="Q74" s="122">
        <v>0.32761613984674332</v>
      </c>
      <c r="R74" s="120">
        <v>188.78</v>
      </c>
      <c r="S74" s="31"/>
      <c r="T74" s="31"/>
      <c r="U74" s="119" t="s">
        <v>325</v>
      </c>
      <c r="V74" s="119" t="s">
        <v>325</v>
      </c>
      <c r="W74" s="31"/>
      <c r="X74" s="120">
        <v>0</v>
      </c>
    </row>
    <row r="75" spans="1:24" ht="18" customHeight="1">
      <c r="A75" s="117">
        <v>5613808124</v>
      </c>
      <c r="B75" s="118" t="s">
        <v>323</v>
      </c>
      <c r="C75" s="119" t="s">
        <v>172</v>
      </c>
      <c r="D75" s="119" t="s">
        <v>325</v>
      </c>
      <c r="E75" s="119" t="s">
        <v>255</v>
      </c>
      <c r="F75" s="119" t="s">
        <v>325</v>
      </c>
      <c r="G75" s="120">
        <v>21.02</v>
      </c>
      <c r="H75" s="120">
        <v>0</v>
      </c>
      <c r="I75" s="120">
        <v>21.02</v>
      </c>
      <c r="J75" s="121">
        <v>41296</v>
      </c>
      <c r="K75" s="121">
        <v>41296</v>
      </c>
      <c r="L75" s="122">
        <v>34</v>
      </c>
      <c r="M75" s="119" t="s">
        <v>327</v>
      </c>
      <c r="N75" s="119" t="s">
        <v>173</v>
      </c>
      <c r="O75" s="122">
        <v>0</v>
      </c>
      <c r="P75" s="31"/>
      <c r="Q75" s="31"/>
      <c r="R75" s="120">
        <v>21.02</v>
      </c>
      <c r="S75" s="31"/>
      <c r="T75" s="31"/>
      <c r="U75" s="119" t="s">
        <v>325</v>
      </c>
      <c r="V75" s="119" t="s">
        <v>325</v>
      </c>
      <c r="W75" s="31"/>
      <c r="X75" s="120">
        <v>0</v>
      </c>
    </row>
    <row r="76" spans="1:24" ht="18" customHeight="1">
      <c r="A76" s="117">
        <v>5668811108</v>
      </c>
      <c r="B76" s="118" t="s">
        <v>323</v>
      </c>
      <c r="C76" s="119" t="s">
        <v>159</v>
      </c>
      <c r="D76" s="119" t="s">
        <v>325</v>
      </c>
      <c r="E76" s="119" t="s">
        <v>255</v>
      </c>
      <c r="F76" s="119" t="s">
        <v>325</v>
      </c>
      <c r="G76" s="120">
        <v>88.17</v>
      </c>
      <c r="H76" s="120">
        <v>54.87</v>
      </c>
      <c r="I76" s="120">
        <v>33.299999999999997</v>
      </c>
      <c r="J76" s="121">
        <v>41288</v>
      </c>
      <c r="K76" s="121">
        <v>41284</v>
      </c>
      <c r="L76" s="122">
        <v>30</v>
      </c>
      <c r="M76" s="119" t="s">
        <v>327</v>
      </c>
      <c r="N76" s="119" t="s">
        <v>174</v>
      </c>
      <c r="O76" s="122">
        <v>78</v>
      </c>
      <c r="P76" s="31"/>
      <c r="Q76" s="31"/>
      <c r="R76" s="120">
        <v>33.299999999999997</v>
      </c>
      <c r="S76" s="31"/>
      <c r="T76" s="31"/>
      <c r="U76" s="119" t="s">
        <v>325</v>
      </c>
      <c r="V76" s="119" t="s">
        <v>325</v>
      </c>
      <c r="W76" s="31"/>
      <c r="X76" s="120">
        <v>0</v>
      </c>
    </row>
    <row r="77" spans="1:24" ht="18" customHeight="1">
      <c r="A77" s="117">
        <v>5748811104</v>
      </c>
      <c r="B77" s="118" t="s">
        <v>323</v>
      </c>
      <c r="C77" s="119" t="s">
        <v>175</v>
      </c>
      <c r="D77" s="119" t="s">
        <v>325</v>
      </c>
      <c r="E77" s="119" t="s">
        <v>326</v>
      </c>
      <c r="F77" s="119" t="s">
        <v>325</v>
      </c>
      <c r="G77" s="120">
        <v>65.86</v>
      </c>
      <c r="H77" s="120">
        <v>43.9</v>
      </c>
      <c r="I77" s="120">
        <v>21.96</v>
      </c>
      <c r="J77" s="121">
        <v>41288</v>
      </c>
      <c r="K77" s="121">
        <v>41284</v>
      </c>
      <c r="L77" s="122">
        <v>30</v>
      </c>
      <c r="M77" s="119" t="s">
        <v>327</v>
      </c>
      <c r="N77" s="119" t="s">
        <v>176</v>
      </c>
      <c r="O77" s="122">
        <v>13</v>
      </c>
      <c r="P77" s="31"/>
      <c r="Q77" s="31"/>
      <c r="R77" s="120">
        <v>21.96</v>
      </c>
      <c r="S77" s="31"/>
      <c r="T77" s="31"/>
      <c r="U77" s="119" t="s">
        <v>325</v>
      </c>
      <c r="V77" s="119" t="s">
        <v>325</v>
      </c>
      <c r="W77" s="31"/>
      <c r="X77" s="120">
        <v>0</v>
      </c>
    </row>
    <row r="78" spans="1:24" ht="18" customHeight="1">
      <c r="A78" s="117">
        <v>5828811100</v>
      </c>
      <c r="B78" s="118" t="s">
        <v>323</v>
      </c>
      <c r="C78" s="119" t="s">
        <v>175</v>
      </c>
      <c r="D78" s="119" t="s">
        <v>325</v>
      </c>
      <c r="E78" s="119" t="s">
        <v>326</v>
      </c>
      <c r="F78" s="119" t="s">
        <v>325</v>
      </c>
      <c r="G78" s="120">
        <v>65.209999999999994</v>
      </c>
      <c r="H78" s="120">
        <v>43.45</v>
      </c>
      <c r="I78" s="120">
        <v>21.76</v>
      </c>
      <c r="J78" s="121">
        <v>41288</v>
      </c>
      <c r="K78" s="121">
        <v>41284</v>
      </c>
      <c r="L78" s="122">
        <v>30</v>
      </c>
      <c r="M78" s="119" t="s">
        <v>327</v>
      </c>
      <c r="N78" s="119" t="s">
        <v>177</v>
      </c>
      <c r="O78" s="122">
        <v>10</v>
      </c>
      <c r="P78" s="31"/>
      <c r="Q78" s="31"/>
      <c r="R78" s="120">
        <v>21.76</v>
      </c>
      <c r="S78" s="31"/>
      <c r="T78" s="31"/>
      <c r="U78" s="119" t="s">
        <v>325</v>
      </c>
      <c r="V78" s="119" t="s">
        <v>325</v>
      </c>
      <c r="W78" s="31"/>
      <c r="X78" s="120">
        <v>0</v>
      </c>
    </row>
    <row r="79" spans="1:24" ht="18" customHeight="1">
      <c r="A79" s="117">
        <v>5913814119</v>
      </c>
      <c r="B79" s="118" t="s">
        <v>323</v>
      </c>
      <c r="C79" s="119" t="s">
        <v>178</v>
      </c>
      <c r="D79" s="119" t="s">
        <v>325</v>
      </c>
      <c r="E79" s="119" t="s">
        <v>332</v>
      </c>
      <c r="F79" s="119" t="s">
        <v>325</v>
      </c>
      <c r="G79" s="120">
        <v>207.5</v>
      </c>
      <c r="H79" s="120">
        <v>0</v>
      </c>
      <c r="I79" s="120">
        <v>207.5</v>
      </c>
      <c r="J79" s="121">
        <v>41296</v>
      </c>
      <c r="K79" s="121">
        <v>41290</v>
      </c>
      <c r="L79" s="122">
        <v>32</v>
      </c>
      <c r="M79" s="119" t="s">
        <v>240</v>
      </c>
      <c r="N79" s="119" t="s">
        <v>179</v>
      </c>
      <c r="O79" s="122">
        <v>3656</v>
      </c>
      <c r="P79" s="122">
        <v>10.1</v>
      </c>
      <c r="Q79" s="122">
        <v>0.47132838283828388</v>
      </c>
      <c r="R79" s="120">
        <v>207.5</v>
      </c>
      <c r="S79" s="31"/>
      <c r="T79" s="31"/>
      <c r="U79" s="119" t="s">
        <v>325</v>
      </c>
      <c r="V79" s="119" t="s">
        <v>325</v>
      </c>
      <c r="W79" s="31"/>
      <c r="X79" s="120">
        <v>0</v>
      </c>
    </row>
    <row r="80" spans="1:24" ht="18" customHeight="1">
      <c r="A80" s="117">
        <v>5933814115</v>
      </c>
      <c r="B80" s="118" t="s">
        <v>323</v>
      </c>
      <c r="C80" s="119" t="s">
        <v>180</v>
      </c>
      <c r="D80" s="119" t="s">
        <v>325</v>
      </c>
      <c r="E80" s="119" t="s">
        <v>332</v>
      </c>
      <c r="F80" s="119" t="s">
        <v>325</v>
      </c>
      <c r="G80" s="120">
        <v>206.07</v>
      </c>
      <c r="H80" s="120">
        <v>0</v>
      </c>
      <c r="I80" s="120">
        <v>206.07</v>
      </c>
      <c r="J80" s="121">
        <v>41296</v>
      </c>
      <c r="K80" s="121">
        <v>41290</v>
      </c>
      <c r="L80" s="122">
        <v>28</v>
      </c>
      <c r="M80" s="119" t="s">
        <v>327</v>
      </c>
      <c r="N80" s="119" t="s">
        <v>181</v>
      </c>
      <c r="O80" s="122">
        <v>3889</v>
      </c>
      <c r="P80" s="122">
        <v>9.8000000000000007</v>
      </c>
      <c r="Q80" s="122">
        <v>0.59053085519922255</v>
      </c>
      <c r="R80" s="120">
        <v>206.07</v>
      </c>
      <c r="S80" s="31"/>
      <c r="T80" s="31"/>
      <c r="U80" s="119" t="s">
        <v>325</v>
      </c>
      <c r="V80" s="119" t="s">
        <v>325</v>
      </c>
      <c r="W80" s="31"/>
      <c r="X80" s="120">
        <v>0</v>
      </c>
    </row>
    <row r="81" spans="1:24" ht="18" customHeight="1">
      <c r="A81" s="117">
        <v>6053820112</v>
      </c>
      <c r="B81" s="118" t="s">
        <v>323</v>
      </c>
      <c r="C81" s="119" t="s">
        <v>182</v>
      </c>
      <c r="D81" s="119" t="s">
        <v>325</v>
      </c>
      <c r="E81" s="119" t="s">
        <v>326</v>
      </c>
      <c r="F81" s="119" t="s">
        <v>325</v>
      </c>
      <c r="G81" s="120">
        <v>23.39</v>
      </c>
      <c r="H81" s="120">
        <v>0</v>
      </c>
      <c r="I81" s="120">
        <v>23.39</v>
      </c>
      <c r="J81" s="121">
        <v>41296</v>
      </c>
      <c r="K81" s="121">
        <v>41290</v>
      </c>
      <c r="L81" s="122">
        <v>33</v>
      </c>
      <c r="M81" s="119" t="s">
        <v>327</v>
      </c>
      <c r="N81" s="119" t="s">
        <v>183</v>
      </c>
      <c r="O81" s="122">
        <v>32</v>
      </c>
      <c r="P81" s="31"/>
      <c r="Q81" s="31"/>
      <c r="R81" s="120">
        <v>23.39</v>
      </c>
      <c r="S81" s="31"/>
      <c r="T81" s="31"/>
      <c r="U81" s="119" t="s">
        <v>325</v>
      </c>
      <c r="V81" s="119" t="s">
        <v>325</v>
      </c>
      <c r="W81" s="31"/>
      <c r="X81" s="120">
        <v>0</v>
      </c>
    </row>
    <row r="82" spans="1:24" ht="18" customHeight="1">
      <c r="A82" s="117">
        <v>6173817104</v>
      </c>
      <c r="B82" s="118" t="s">
        <v>323</v>
      </c>
      <c r="C82" s="119" t="s">
        <v>184</v>
      </c>
      <c r="D82" s="119" t="s">
        <v>325</v>
      </c>
      <c r="E82" s="119" t="s">
        <v>326</v>
      </c>
      <c r="F82" s="119" t="s">
        <v>325</v>
      </c>
      <c r="G82" s="120">
        <v>50.45</v>
      </c>
      <c r="H82" s="120">
        <v>0</v>
      </c>
      <c r="I82" s="120">
        <v>50.45</v>
      </c>
      <c r="J82" s="121">
        <v>41296</v>
      </c>
      <c r="K82" s="121">
        <v>41290</v>
      </c>
      <c r="L82" s="122">
        <v>33</v>
      </c>
      <c r="M82" s="119" t="s">
        <v>327</v>
      </c>
      <c r="N82" s="119" t="s">
        <v>185</v>
      </c>
      <c r="O82" s="122">
        <v>399</v>
      </c>
      <c r="P82" s="31"/>
      <c r="Q82" s="31"/>
      <c r="R82" s="120">
        <v>50.45</v>
      </c>
      <c r="S82" s="31"/>
      <c r="T82" s="31"/>
      <c r="U82" s="119" t="s">
        <v>325</v>
      </c>
      <c r="V82" s="119" t="s">
        <v>325</v>
      </c>
      <c r="W82" s="31"/>
      <c r="X82" s="120">
        <v>0</v>
      </c>
    </row>
    <row r="83" spans="1:24" ht="18" customHeight="1">
      <c r="A83" s="117">
        <v>6368810106</v>
      </c>
      <c r="B83" s="118" t="s">
        <v>323</v>
      </c>
      <c r="C83" s="119" t="s">
        <v>186</v>
      </c>
      <c r="D83" s="119" t="s">
        <v>325</v>
      </c>
      <c r="E83" s="119" t="s">
        <v>326</v>
      </c>
      <c r="F83" s="119" t="s">
        <v>325</v>
      </c>
      <c r="G83" s="120">
        <v>69.56</v>
      </c>
      <c r="H83" s="120">
        <v>48.54</v>
      </c>
      <c r="I83" s="120">
        <v>21.02</v>
      </c>
      <c r="J83" s="121">
        <v>41288</v>
      </c>
      <c r="K83" s="121">
        <v>41284</v>
      </c>
      <c r="L83" s="122">
        <v>30</v>
      </c>
      <c r="M83" s="119" t="s">
        <v>327</v>
      </c>
      <c r="N83" s="119" t="s">
        <v>187</v>
      </c>
      <c r="O83" s="122">
        <v>0</v>
      </c>
      <c r="P83" s="31"/>
      <c r="Q83" s="31"/>
      <c r="R83" s="120">
        <v>21.02</v>
      </c>
      <c r="S83" s="31"/>
      <c r="T83" s="31"/>
      <c r="U83" s="119" t="s">
        <v>325</v>
      </c>
      <c r="V83" s="119" t="s">
        <v>325</v>
      </c>
      <c r="W83" s="31"/>
      <c r="X83" s="120">
        <v>0</v>
      </c>
    </row>
    <row r="84" spans="1:24" ht="18" customHeight="1">
      <c r="A84" s="117">
        <v>6853819124</v>
      </c>
      <c r="B84" s="118" t="s">
        <v>323</v>
      </c>
      <c r="C84" s="119" t="s">
        <v>188</v>
      </c>
      <c r="D84" s="119" t="s">
        <v>325</v>
      </c>
      <c r="E84" s="119" t="s">
        <v>255</v>
      </c>
      <c r="F84" s="119" t="s">
        <v>325</v>
      </c>
      <c r="G84" s="120">
        <v>30.48</v>
      </c>
      <c r="H84" s="120">
        <v>0</v>
      </c>
      <c r="I84" s="120">
        <v>30.48</v>
      </c>
      <c r="J84" s="121">
        <v>41296</v>
      </c>
      <c r="K84" s="121">
        <v>41290</v>
      </c>
      <c r="L84" s="122">
        <v>32</v>
      </c>
      <c r="M84" s="119" t="s">
        <v>327</v>
      </c>
      <c r="N84" s="119" t="s">
        <v>189</v>
      </c>
      <c r="O84" s="122">
        <v>60</v>
      </c>
      <c r="P84" s="31"/>
      <c r="Q84" s="31"/>
      <c r="R84" s="120">
        <v>30.48</v>
      </c>
      <c r="S84" s="31"/>
      <c r="T84" s="31"/>
      <c r="U84" s="119" t="s">
        <v>325</v>
      </c>
      <c r="V84" s="119" t="s">
        <v>325</v>
      </c>
      <c r="W84" s="31"/>
      <c r="X84" s="120">
        <v>0</v>
      </c>
    </row>
    <row r="85" spans="1:24" ht="18" customHeight="1">
      <c r="A85" s="117">
        <v>6857311003</v>
      </c>
      <c r="B85" s="118" t="s">
        <v>323</v>
      </c>
      <c r="C85" s="119" t="s">
        <v>190</v>
      </c>
      <c r="D85" s="119" t="s">
        <v>325</v>
      </c>
      <c r="E85" s="119" t="s">
        <v>255</v>
      </c>
      <c r="F85" s="119" t="s">
        <v>325</v>
      </c>
      <c r="G85" s="120">
        <v>22.11</v>
      </c>
      <c r="H85" s="120">
        <v>0</v>
      </c>
      <c r="I85" s="120">
        <v>22.11</v>
      </c>
      <c r="J85" s="121">
        <v>41296</v>
      </c>
      <c r="K85" s="121">
        <v>41290</v>
      </c>
      <c r="L85" s="122">
        <v>33</v>
      </c>
      <c r="M85" s="119" t="s">
        <v>327</v>
      </c>
      <c r="N85" s="119" t="s">
        <v>191</v>
      </c>
      <c r="O85" s="122">
        <v>4</v>
      </c>
      <c r="P85" s="31"/>
      <c r="Q85" s="31"/>
      <c r="R85" s="120">
        <v>22.11</v>
      </c>
      <c r="S85" s="31"/>
      <c r="T85" s="31"/>
      <c r="U85" s="119" t="s">
        <v>325</v>
      </c>
      <c r="V85" s="119" t="s">
        <v>325</v>
      </c>
      <c r="W85" s="31"/>
      <c r="X85" s="120">
        <v>0</v>
      </c>
    </row>
    <row r="86" spans="1:24" ht="18" customHeight="1">
      <c r="A86" s="117">
        <v>7312015014</v>
      </c>
      <c r="B86" s="118" t="s">
        <v>323</v>
      </c>
      <c r="C86" s="119" t="s">
        <v>192</v>
      </c>
      <c r="D86" s="119" t="s">
        <v>325</v>
      </c>
      <c r="E86" s="119" t="s">
        <v>326</v>
      </c>
      <c r="F86" s="119" t="s">
        <v>325</v>
      </c>
      <c r="G86" s="120">
        <v>81.489999999999995</v>
      </c>
      <c r="H86" s="120">
        <v>54.43</v>
      </c>
      <c r="I86" s="120">
        <v>27.06</v>
      </c>
      <c r="J86" s="121">
        <v>41288</v>
      </c>
      <c r="K86" s="121">
        <v>41284</v>
      </c>
      <c r="L86" s="122">
        <v>30</v>
      </c>
      <c r="M86" s="119" t="s">
        <v>327</v>
      </c>
      <c r="N86" s="119" t="s">
        <v>193</v>
      </c>
      <c r="O86" s="122">
        <v>82</v>
      </c>
      <c r="P86" s="31"/>
      <c r="Q86" s="31"/>
      <c r="R86" s="120">
        <v>27.06</v>
      </c>
      <c r="S86" s="31"/>
      <c r="T86" s="31"/>
      <c r="U86" s="119" t="s">
        <v>325</v>
      </c>
      <c r="V86" s="119" t="s">
        <v>325</v>
      </c>
      <c r="W86" s="31"/>
      <c r="X86" s="120">
        <v>0</v>
      </c>
    </row>
    <row r="87" spans="1:24" ht="18" customHeight="1">
      <c r="A87" s="117">
        <v>8193819106</v>
      </c>
      <c r="B87" s="118" t="s">
        <v>323</v>
      </c>
      <c r="C87" s="119" t="s">
        <v>205</v>
      </c>
      <c r="D87" s="119" t="s">
        <v>325</v>
      </c>
      <c r="E87" s="119" t="s">
        <v>325</v>
      </c>
      <c r="F87" s="119" t="s">
        <v>335</v>
      </c>
      <c r="G87" s="120">
        <v>719.28</v>
      </c>
      <c r="H87" s="120">
        <v>0</v>
      </c>
      <c r="I87" s="120">
        <v>719.28</v>
      </c>
      <c r="J87" s="121">
        <v>41296</v>
      </c>
      <c r="K87" s="31"/>
      <c r="L87" s="31"/>
      <c r="M87" s="119" t="s">
        <v>325</v>
      </c>
      <c r="N87" s="119" t="s">
        <v>325</v>
      </c>
      <c r="O87" s="31"/>
      <c r="P87" s="31"/>
      <c r="Q87" s="31"/>
      <c r="R87" s="120">
        <v>0</v>
      </c>
      <c r="S87" s="121">
        <v>41290</v>
      </c>
      <c r="T87" s="122">
        <v>33</v>
      </c>
      <c r="U87" s="119" t="s">
        <v>327</v>
      </c>
      <c r="V87" s="119" t="s">
        <v>88</v>
      </c>
      <c r="W87" s="122">
        <v>2585</v>
      </c>
      <c r="X87" s="120">
        <v>719.28</v>
      </c>
    </row>
    <row r="88" spans="1:24" ht="18" customHeight="1">
      <c r="A88" s="117">
        <v>8714009102</v>
      </c>
      <c r="B88" s="118" t="s">
        <v>323</v>
      </c>
      <c r="C88" s="119" t="s">
        <v>89</v>
      </c>
      <c r="D88" s="119" t="s">
        <v>325</v>
      </c>
      <c r="E88" s="119" t="s">
        <v>326</v>
      </c>
      <c r="F88" s="119" t="s">
        <v>163</v>
      </c>
      <c r="G88" s="120">
        <v>195.15</v>
      </c>
      <c r="H88" s="120">
        <v>92.45</v>
      </c>
      <c r="I88" s="120">
        <v>102.7</v>
      </c>
      <c r="J88" s="121">
        <v>41263</v>
      </c>
      <c r="K88" s="121">
        <v>41260</v>
      </c>
      <c r="L88" s="122">
        <v>32</v>
      </c>
      <c r="M88" s="119" t="s">
        <v>327</v>
      </c>
      <c r="N88" s="119" t="s">
        <v>90</v>
      </c>
      <c r="O88" s="122">
        <v>749</v>
      </c>
      <c r="P88" s="31"/>
      <c r="Q88" s="31"/>
      <c r="R88" s="120">
        <v>76.760000000000005</v>
      </c>
      <c r="S88" s="121">
        <v>41260</v>
      </c>
      <c r="T88" s="122">
        <v>32</v>
      </c>
      <c r="U88" s="119" t="s">
        <v>327</v>
      </c>
      <c r="V88" s="119" t="s">
        <v>91</v>
      </c>
      <c r="W88" s="122">
        <v>4</v>
      </c>
      <c r="X88" s="120">
        <v>25.94</v>
      </c>
    </row>
    <row r="89" spans="1:24" ht="18" customHeight="1">
      <c r="A89" s="117">
        <v>8993882105</v>
      </c>
      <c r="B89" s="118" t="s">
        <v>323</v>
      </c>
      <c r="C89" s="119" t="s">
        <v>92</v>
      </c>
      <c r="D89" s="119" t="s">
        <v>325</v>
      </c>
      <c r="E89" s="119" t="s">
        <v>330</v>
      </c>
      <c r="F89" s="119" t="s">
        <v>325</v>
      </c>
      <c r="G89" s="120">
        <v>99.5</v>
      </c>
      <c r="H89" s="120">
        <v>0</v>
      </c>
      <c r="I89" s="120">
        <v>99.5</v>
      </c>
      <c r="J89" s="121">
        <v>41296</v>
      </c>
      <c r="K89" s="121">
        <v>41296</v>
      </c>
      <c r="L89" s="122">
        <v>34</v>
      </c>
      <c r="M89" s="119" t="s">
        <v>327</v>
      </c>
      <c r="N89" s="119" t="s">
        <v>325</v>
      </c>
      <c r="O89" s="122">
        <v>116</v>
      </c>
      <c r="P89" s="31"/>
      <c r="Q89" s="31"/>
      <c r="R89" s="120">
        <v>99.5</v>
      </c>
      <c r="S89" s="31"/>
      <c r="T89" s="31"/>
      <c r="U89" s="119" t="s">
        <v>325</v>
      </c>
      <c r="V89" s="119" t="s">
        <v>325</v>
      </c>
      <c r="W89" s="31"/>
      <c r="X89" s="120">
        <v>0</v>
      </c>
    </row>
    <row r="90" spans="1:24" ht="18" customHeight="1">
      <c r="A90" s="117">
        <v>9308810101</v>
      </c>
      <c r="B90" s="118" t="s">
        <v>323</v>
      </c>
      <c r="C90" s="119" t="s">
        <v>337</v>
      </c>
      <c r="D90" s="119" t="s">
        <v>325</v>
      </c>
      <c r="E90" s="119" t="s">
        <v>325</v>
      </c>
      <c r="F90" s="119" t="s">
        <v>335</v>
      </c>
      <c r="G90" s="120">
        <v>252.57</v>
      </c>
      <c r="H90" s="120">
        <v>135.07</v>
      </c>
      <c r="I90" s="120">
        <v>117.5</v>
      </c>
      <c r="J90" s="121">
        <v>41288</v>
      </c>
      <c r="K90" s="31"/>
      <c r="L90" s="31"/>
      <c r="M90" s="119" t="s">
        <v>325</v>
      </c>
      <c r="N90" s="119" t="s">
        <v>325</v>
      </c>
      <c r="O90" s="31"/>
      <c r="P90" s="31"/>
      <c r="Q90" s="31"/>
      <c r="R90" s="120">
        <v>0</v>
      </c>
      <c r="S90" s="121">
        <v>41284</v>
      </c>
      <c r="T90" s="122">
        <v>30</v>
      </c>
      <c r="U90" s="119" t="s">
        <v>327</v>
      </c>
      <c r="V90" s="119" t="s">
        <v>93</v>
      </c>
      <c r="W90" s="122">
        <v>246</v>
      </c>
      <c r="X90" s="120">
        <v>117.5</v>
      </c>
    </row>
    <row r="91" spans="1:24" ht="18" customHeight="1">
      <c r="A91" s="117">
        <v>9428808118</v>
      </c>
      <c r="B91" s="118" t="s">
        <v>323</v>
      </c>
      <c r="C91" s="119" t="s">
        <v>94</v>
      </c>
      <c r="D91" s="119" t="s">
        <v>325</v>
      </c>
      <c r="E91" s="119" t="s">
        <v>95</v>
      </c>
      <c r="F91" s="119" t="s">
        <v>236</v>
      </c>
      <c r="G91" s="120">
        <v>158.66999999999999</v>
      </c>
      <c r="H91" s="120">
        <v>84.43</v>
      </c>
      <c r="I91" s="120">
        <v>74.239999999999995</v>
      </c>
      <c r="J91" s="121">
        <v>41288</v>
      </c>
      <c r="K91" s="121">
        <v>41284</v>
      </c>
      <c r="L91" s="122">
        <v>30</v>
      </c>
      <c r="M91" s="119" t="s">
        <v>327</v>
      </c>
      <c r="N91" s="119" t="s">
        <v>96</v>
      </c>
      <c r="O91" s="122">
        <v>63</v>
      </c>
      <c r="P91" s="31"/>
      <c r="Q91" s="31"/>
      <c r="R91" s="120">
        <v>25.35</v>
      </c>
      <c r="S91" s="121">
        <v>41284</v>
      </c>
      <c r="T91" s="122">
        <v>30</v>
      </c>
      <c r="U91" s="119" t="s">
        <v>327</v>
      </c>
      <c r="V91" s="119" t="s">
        <v>97</v>
      </c>
      <c r="W91" s="122">
        <v>31</v>
      </c>
      <c r="X91" s="120">
        <v>48.89</v>
      </c>
    </row>
    <row r="92" spans="1:24" ht="18" customHeight="1">
      <c r="A92" s="117">
        <v>9488810107</v>
      </c>
      <c r="B92" s="118" t="s">
        <v>323</v>
      </c>
      <c r="C92" s="119" t="s">
        <v>337</v>
      </c>
      <c r="D92" s="119" t="s">
        <v>325</v>
      </c>
      <c r="E92" s="119" t="s">
        <v>332</v>
      </c>
      <c r="F92" s="119" t="s">
        <v>325</v>
      </c>
      <c r="G92" s="120">
        <v>1309.04</v>
      </c>
      <c r="H92" s="120">
        <v>1080.99</v>
      </c>
      <c r="I92" s="120">
        <v>228.05</v>
      </c>
      <c r="J92" s="121">
        <v>41288</v>
      </c>
      <c r="K92" s="121">
        <v>41288</v>
      </c>
      <c r="L92" s="122">
        <v>34</v>
      </c>
      <c r="M92" s="119" t="s">
        <v>327</v>
      </c>
      <c r="N92" s="119" t="s">
        <v>98</v>
      </c>
      <c r="O92" s="122">
        <v>2240</v>
      </c>
      <c r="P92" s="122">
        <v>12.8</v>
      </c>
      <c r="Q92" s="122">
        <v>0.21446078431372551</v>
      </c>
      <c r="R92" s="120">
        <v>228.05</v>
      </c>
      <c r="S92" s="31"/>
      <c r="T92" s="31"/>
      <c r="U92" s="119" t="s">
        <v>325</v>
      </c>
      <c r="V92" s="119" t="s">
        <v>325</v>
      </c>
      <c r="W92" s="31"/>
      <c r="X92" s="120">
        <v>0</v>
      </c>
    </row>
    <row r="93" spans="1:24" ht="18" customHeight="1">
      <c r="A93" s="117">
        <v>9529017113</v>
      </c>
      <c r="B93" s="118" t="s">
        <v>323</v>
      </c>
      <c r="C93" s="119" t="s">
        <v>99</v>
      </c>
      <c r="D93" s="119" t="s">
        <v>325</v>
      </c>
      <c r="E93" s="119" t="s">
        <v>326</v>
      </c>
      <c r="F93" s="119" t="s">
        <v>325</v>
      </c>
      <c r="G93" s="120">
        <v>190.72</v>
      </c>
      <c r="H93" s="120">
        <v>169.7</v>
      </c>
      <c r="I93" s="120">
        <v>21.02</v>
      </c>
      <c r="J93" s="121">
        <v>41288</v>
      </c>
      <c r="K93" s="121">
        <v>41284</v>
      </c>
      <c r="L93" s="122">
        <v>31</v>
      </c>
      <c r="M93" s="119" t="s">
        <v>327</v>
      </c>
      <c r="N93" s="119" t="s">
        <v>100</v>
      </c>
      <c r="O93" s="122">
        <v>0</v>
      </c>
      <c r="P93" s="31"/>
      <c r="Q93" s="31"/>
      <c r="R93" s="120">
        <v>21.02</v>
      </c>
      <c r="S93" s="31"/>
      <c r="T93" s="31"/>
      <c r="U93" s="119" t="s">
        <v>325</v>
      </c>
      <c r="V93" s="119" t="s">
        <v>325</v>
      </c>
      <c r="W93" s="31"/>
      <c r="X93" s="120">
        <v>0</v>
      </c>
    </row>
    <row r="94" spans="1:24" ht="18" customHeight="1">
      <c r="A94" s="117">
        <v>9753819107</v>
      </c>
      <c r="B94" s="118" t="s">
        <v>323</v>
      </c>
      <c r="C94" s="119" t="s">
        <v>101</v>
      </c>
      <c r="D94" s="119" t="s">
        <v>325</v>
      </c>
      <c r="E94" s="119" t="s">
        <v>332</v>
      </c>
      <c r="F94" s="119" t="s">
        <v>277</v>
      </c>
      <c r="G94" s="120">
        <v>1311.69</v>
      </c>
      <c r="H94" s="120">
        <v>0</v>
      </c>
      <c r="I94" s="120">
        <v>1311.69</v>
      </c>
      <c r="J94" s="121">
        <v>41296</v>
      </c>
      <c r="K94" s="121">
        <v>41296</v>
      </c>
      <c r="L94" s="122">
        <v>34</v>
      </c>
      <c r="M94" s="119" t="s">
        <v>327</v>
      </c>
      <c r="N94" s="119" t="s">
        <v>102</v>
      </c>
      <c r="O94" s="122">
        <v>15040</v>
      </c>
      <c r="P94" s="122">
        <v>40</v>
      </c>
      <c r="Q94" s="122">
        <v>0.46078431372549022</v>
      </c>
      <c r="R94" s="120">
        <v>672.95</v>
      </c>
      <c r="S94" s="121">
        <v>41290</v>
      </c>
      <c r="T94" s="122">
        <v>33</v>
      </c>
      <c r="U94" s="119" t="s">
        <v>327</v>
      </c>
      <c r="V94" s="119" t="s">
        <v>103</v>
      </c>
      <c r="W94" s="122">
        <v>742</v>
      </c>
      <c r="X94" s="120">
        <v>638.74</v>
      </c>
    </row>
    <row r="95" spans="1:24" ht="18" customHeight="1">
      <c r="A95" s="117">
        <v>9753820119</v>
      </c>
      <c r="B95" s="118" t="s">
        <v>323</v>
      </c>
      <c r="C95" s="119" t="s">
        <v>104</v>
      </c>
      <c r="D95" s="119" t="s">
        <v>325</v>
      </c>
      <c r="E95" s="119" t="s">
        <v>326</v>
      </c>
      <c r="F95" s="119" t="s">
        <v>325</v>
      </c>
      <c r="G95" s="120">
        <v>24.34</v>
      </c>
      <c r="H95" s="120">
        <v>0</v>
      </c>
      <c r="I95" s="120">
        <v>24.34</v>
      </c>
      <c r="J95" s="121">
        <v>41296</v>
      </c>
      <c r="K95" s="121">
        <v>41291</v>
      </c>
      <c r="L95" s="122">
        <v>34</v>
      </c>
      <c r="M95" s="119" t="s">
        <v>327</v>
      </c>
      <c r="N95" s="119" t="s">
        <v>105</v>
      </c>
      <c r="O95" s="122">
        <v>45</v>
      </c>
      <c r="P95" s="31"/>
      <c r="Q95" s="31"/>
      <c r="R95" s="120">
        <v>24.34</v>
      </c>
      <c r="S95" s="31"/>
      <c r="T95" s="31"/>
      <c r="U95" s="119" t="s">
        <v>325</v>
      </c>
      <c r="V95" s="119" t="s">
        <v>325</v>
      </c>
      <c r="W95" s="31"/>
      <c r="X95" s="120">
        <v>0</v>
      </c>
    </row>
    <row r="96" spans="1:24" ht="18" customHeight="1">
      <c r="A96" s="117">
        <v>9953820104</v>
      </c>
      <c r="B96" s="118" t="s">
        <v>323</v>
      </c>
      <c r="C96" s="119" t="s">
        <v>106</v>
      </c>
      <c r="D96" s="119" t="s">
        <v>325</v>
      </c>
      <c r="E96" s="119" t="s">
        <v>326</v>
      </c>
      <c r="F96" s="119" t="s">
        <v>325</v>
      </c>
      <c r="G96" s="120">
        <v>29.88</v>
      </c>
      <c r="H96" s="120">
        <v>0</v>
      </c>
      <c r="I96" s="120">
        <v>29.88</v>
      </c>
      <c r="J96" s="121">
        <v>41296</v>
      </c>
      <c r="K96" s="121">
        <v>41290</v>
      </c>
      <c r="L96" s="122">
        <v>33</v>
      </c>
      <c r="M96" s="119" t="s">
        <v>327</v>
      </c>
      <c r="N96" s="119" t="s">
        <v>107</v>
      </c>
      <c r="O96" s="122">
        <v>120</v>
      </c>
      <c r="P96" s="31"/>
      <c r="Q96" s="31"/>
      <c r="R96" s="120">
        <v>29.88</v>
      </c>
      <c r="S96" s="31"/>
      <c r="T96" s="31"/>
      <c r="U96" s="119" t="s">
        <v>325</v>
      </c>
      <c r="V96" s="119" t="s">
        <v>325</v>
      </c>
      <c r="W96" s="31"/>
      <c r="X96" s="120">
        <v>0</v>
      </c>
    </row>
    <row r="97" spans="2:24" ht="18" customHeight="1">
      <c r="B97" s="123"/>
      <c r="C97" s="31"/>
      <c r="D97" s="31"/>
      <c r="E97" s="31"/>
      <c r="F97" s="31"/>
      <c r="G97" s="88"/>
      <c r="H97" s="88"/>
      <c r="I97" s="88"/>
      <c r="J97" s="31"/>
      <c r="K97" s="31"/>
      <c r="L97" s="31"/>
      <c r="M97" s="31"/>
      <c r="N97" s="31"/>
      <c r="O97" s="31"/>
      <c r="P97" s="31"/>
      <c r="Q97" s="31"/>
      <c r="R97" s="88"/>
      <c r="S97" s="31"/>
      <c r="T97" s="31"/>
      <c r="U97" s="31"/>
      <c r="V97" s="31"/>
      <c r="W97" s="31"/>
      <c r="X97" s="88"/>
    </row>
    <row r="98" spans="2:24" ht="18" customHeight="1">
      <c r="B98" s="123"/>
      <c r="C98" s="31"/>
      <c r="D98" s="31"/>
      <c r="E98" s="31"/>
      <c r="F98" s="31"/>
      <c r="G98" s="31"/>
      <c r="H98" s="88"/>
      <c r="I98" s="124">
        <f>SUM(I15:I97)</f>
        <v>23500.01</v>
      </c>
      <c r="J98" s="88"/>
      <c r="K98" s="31"/>
      <c r="L98" s="31"/>
      <c r="M98" s="31"/>
      <c r="N98" s="31"/>
      <c r="O98" s="31"/>
      <c r="P98" s="31"/>
      <c r="Q98" s="31"/>
      <c r="R98" s="31"/>
      <c r="S98" s="88"/>
      <c r="T98" s="31"/>
      <c r="U98" s="31"/>
      <c r="V98" s="31"/>
      <c r="W98" s="31"/>
      <c r="X98" s="31"/>
    </row>
  </sheetData>
  <mergeCells count="3">
    <mergeCell ref="A5:E5"/>
    <mergeCell ref="A6:E6"/>
    <mergeCell ref="A11:B11"/>
  </mergeCells>
  <phoneticPr fontId="7" type="noConversion"/>
  <pageMargins left="0.5" right="0.5" top="0.25" bottom="0.5" header="0" footer="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B98"/>
  <sheetViews>
    <sheetView workbookViewId="0">
      <selection activeCell="A16" sqref="A16:XFD16"/>
    </sheetView>
  </sheetViews>
  <sheetFormatPr baseColWidth="10" defaultColWidth="8.83203125" defaultRowHeight="14" x14ac:dyDescent="0"/>
  <cols>
    <col min="1" max="1" width="13.33203125" style="184" customWidth="1"/>
    <col min="2" max="2" width="17.33203125" style="179" customWidth="1"/>
    <col min="3" max="3" width="43.5" style="35" customWidth="1"/>
    <col min="4" max="4" width="11.1640625" style="35" customWidth="1"/>
    <col min="5" max="5" width="14.5" style="35" customWidth="1"/>
    <col min="6" max="6" width="12" style="35" hidden="1" customWidth="1"/>
    <col min="7" max="7" width="11.33203125" style="35" hidden="1" customWidth="1"/>
    <col min="8" max="8" width="10" style="35" hidden="1" customWidth="1"/>
    <col min="9" max="9" width="11.6640625" style="35" customWidth="1"/>
    <col min="10" max="10" width="11" style="35" hidden="1" customWidth="1"/>
    <col min="11" max="11" width="10.5" style="35" hidden="1" customWidth="1"/>
    <col min="12" max="12" width="5.33203125" style="35" hidden="1" customWidth="1"/>
    <col min="13" max="13" width="14.83203125" style="35" hidden="1" customWidth="1"/>
    <col min="14" max="14" width="9.6640625" style="125" hidden="1" customWidth="1"/>
    <col min="15" max="15" width="10.6640625" style="35" customWidth="1"/>
    <col min="16" max="16" width="6.5" style="35" hidden="1" customWidth="1"/>
    <col min="17" max="17" width="11.33203125" style="35" hidden="1" customWidth="1"/>
    <col min="18" max="18" width="12" style="35" customWidth="1"/>
    <col min="19" max="19" width="12.6640625" style="35" hidden="1" customWidth="1"/>
    <col min="20" max="20" width="11" style="35" hidden="1" customWidth="1"/>
    <col min="21" max="21" width="9.6640625" style="35" hidden="1" customWidth="1"/>
    <col min="22" max="22" width="3.83203125" style="35" hidden="1" customWidth="1"/>
    <col min="23" max="23" width="9.33203125" style="35" customWidth="1"/>
    <col min="24" max="24" width="11.1640625" style="180" customWidth="1"/>
    <col min="25" max="25" width="6.6640625" style="35" customWidth="1"/>
    <col min="26" max="26" width="6" style="35" customWidth="1"/>
    <col min="27" max="27" width="20.33203125" style="35" customWidth="1"/>
    <col min="28" max="16384" width="8.83203125" style="35"/>
  </cols>
  <sheetData>
    <row r="1" spans="1:28">
      <c r="A1" s="35"/>
      <c r="B1" s="125"/>
      <c r="N1" s="35"/>
      <c r="X1" s="35"/>
    </row>
    <row r="2" spans="1:28">
      <c r="A2" s="35"/>
      <c r="B2" s="125"/>
      <c r="N2" s="35"/>
      <c r="X2" s="35"/>
    </row>
    <row r="3" spans="1:28">
      <c r="A3" s="35"/>
      <c r="B3" s="125"/>
      <c r="N3" s="35"/>
      <c r="X3" s="35"/>
    </row>
    <row r="4" spans="1:28" ht="15" thickBot="1">
      <c r="A4" s="35"/>
      <c r="B4" s="125"/>
      <c r="N4" s="35"/>
      <c r="X4" s="35"/>
    </row>
    <row r="5" spans="1:28" ht="15" thickBot="1">
      <c r="A5" s="126" t="s">
        <v>289</v>
      </c>
      <c r="B5" s="127"/>
      <c r="C5" s="128"/>
      <c r="D5" s="128"/>
      <c r="E5" s="129"/>
      <c r="F5" s="130"/>
      <c r="G5" s="131"/>
      <c r="H5" s="130"/>
      <c r="I5" s="130"/>
      <c r="J5" s="130"/>
      <c r="K5" s="130"/>
      <c r="L5" s="130"/>
      <c r="M5" s="130"/>
      <c r="N5" s="132"/>
      <c r="O5" s="130"/>
      <c r="P5" s="130"/>
      <c r="Q5" s="130"/>
      <c r="R5" s="131"/>
      <c r="S5" s="130"/>
      <c r="T5" s="130"/>
      <c r="U5" s="130"/>
      <c r="V5" s="130"/>
      <c r="W5" s="130"/>
      <c r="X5" s="130"/>
      <c r="Y5" s="130"/>
      <c r="Z5" s="130"/>
      <c r="AA5" s="130"/>
    </row>
    <row r="6" spans="1:28" ht="15" thickBot="1">
      <c r="A6" s="133" t="s">
        <v>290</v>
      </c>
      <c r="B6" s="134"/>
      <c r="C6" s="135"/>
      <c r="D6" s="135"/>
      <c r="E6" s="136"/>
      <c r="F6" s="130"/>
      <c r="G6" s="131"/>
      <c r="H6" s="130"/>
      <c r="I6" s="130"/>
      <c r="J6" s="130"/>
      <c r="K6" s="130"/>
      <c r="L6" s="130"/>
      <c r="M6" s="130"/>
      <c r="N6" s="132"/>
      <c r="O6" s="130"/>
      <c r="P6" s="130"/>
      <c r="Q6" s="130"/>
      <c r="R6" s="131"/>
      <c r="S6" s="130"/>
      <c r="T6" s="130"/>
      <c r="U6" s="130"/>
      <c r="V6" s="130"/>
      <c r="W6" s="130"/>
      <c r="X6" s="130"/>
      <c r="Y6" s="130"/>
      <c r="Z6" s="130"/>
      <c r="AA6" s="130"/>
    </row>
    <row r="7" spans="1:28">
      <c r="A7" s="137" t="s">
        <v>291</v>
      </c>
      <c r="B7" s="138"/>
      <c r="C7" s="139"/>
      <c r="D7" s="139"/>
      <c r="E7" s="140"/>
      <c r="F7" s="130"/>
      <c r="G7" s="131"/>
      <c r="H7" s="130"/>
      <c r="I7" s="130"/>
      <c r="J7" s="130"/>
      <c r="K7" s="130"/>
      <c r="L7" s="130"/>
      <c r="M7" s="130"/>
      <c r="N7" s="132"/>
      <c r="O7" s="130"/>
      <c r="P7" s="130"/>
      <c r="Q7" s="130"/>
      <c r="R7" s="131"/>
      <c r="S7" s="130"/>
      <c r="T7" s="130"/>
      <c r="U7" s="130"/>
      <c r="V7" s="130"/>
      <c r="W7" s="130"/>
      <c r="X7" s="130"/>
      <c r="Y7" s="130"/>
      <c r="Z7" s="130"/>
      <c r="AA7" s="130"/>
    </row>
    <row r="8" spans="1:28" ht="15" thickBot="1">
      <c r="A8" s="141" t="s">
        <v>292</v>
      </c>
      <c r="B8" s="142"/>
      <c r="C8" s="143"/>
      <c r="D8" s="143"/>
      <c r="E8" s="144"/>
      <c r="F8" s="130"/>
      <c r="G8" s="131"/>
      <c r="H8" s="130"/>
      <c r="I8" s="130"/>
      <c r="J8" s="130"/>
      <c r="K8" s="130"/>
      <c r="L8" s="130"/>
      <c r="M8" s="130"/>
      <c r="N8" s="132"/>
      <c r="O8" s="130"/>
      <c r="P8" s="130"/>
      <c r="Q8" s="130"/>
      <c r="R8" s="131"/>
      <c r="S8" s="130"/>
      <c r="T8" s="130"/>
      <c r="U8" s="130"/>
      <c r="V8" s="130"/>
      <c r="W8" s="130"/>
      <c r="X8" s="130"/>
      <c r="Y8" s="130"/>
      <c r="Z8" s="130"/>
      <c r="AA8" s="130"/>
    </row>
    <row r="9" spans="1:28" ht="15" thickBot="1">
      <c r="A9" s="145" t="s">
        <v>293</v>
      </c>
      <c r="B9" s="146" t="s">
        <v>294</v>
      </c>
      <c r="C9" s="147">
        <v>41326</v>
      </c>
      <c r="D9" s="148" t="s">
        <v>295</v>
      </c>
      <c r="E9" s="147">
        <v>41340</v>
      </c>
      <c r="F9" s="130"/>
      <c r="G9" s="131"/>
      <c r="H9" s="130"/>
      <c r="I9" s="130"/>
      <c r="J9" s="130"/>
      <c r="K9" s="130"/>
      <c r="L9" s="130"/>
      <c r="M9" s="130"/>
      <c r="N9" s="132"/>
      <c r="O9" s="130"/>
      <c r="P9" s="130"/>
      <c r="Q9" s="130"/>
      <c r="R9" s="131"/>
      <c r="S9" s="130"/>
      <c r="T9" s="130"/>
      <c r="U9" s="130"/>
      <c r="V9" s="130"/>
      <c r="W9" s="130"/>
      <c r="X9" s="130"/>
      <c r="Y9" s="130"/>
      <c r="Z9" s="130"/>
      <c r="AA9" s="130"/>
    </row>
    <row r="10" spans="1:28" ht="15" thickBot="1">
      <c r="A10" s="149" t="s">
        <v>296</v>
      </c>
      <c r="B10" s="150">
        <v>22336.439999999995</v>
      </c>
      <c r="C10" s="139"/>
      <c r="D10" s="139"/>
      <c r="E10" s="140"/>
      <c r="F10" s="130"/>
      <c r="G10" s="131"/>
      <c r="H10" s="130"/>
      <c r="I10" s="130"/>
      <c r="J10" s="130"/>
      <c r="K10" s="130"/>
      <c r="L10" s="130"/>
      <c r="M10" s="130"/>
      <c r="N10" s="132"/>
      <c r="O10" s="130"/>
      <c r="P10" s="130"/>
      <c r="Q10" s="130"/>
      <c r="R10" s="131"/>
      <c r="S10" s="130"/>
      <c r="T10" s="130"/>
      <c r="U10" s="130"/>
      <c r="V10" s="130"/>
      <c r="W10" s="130"/>
      <c r="X10" s="130"/>
      <c r="Y10" s="130"/>
      <c r="Z10" s="130"/>
      <c r="AA10" s="130"/>
    </row>
    <row r="11" spans="1:28" ht="15" thickBot="1">
      <c r="A11" s="151" t="s">
        <v>297</v>
      </c>
      <c r="B11" s="152"/>
      <c r="C11" s="153">
        <v>41297</v>
      </c>
      <c r="D11" s="154" t="s">
        <v>298</v>
      </c>
      <c r="E11" s="147">
        <v>41326</v>
      </c>
      <c r="F11" s="130"/>
      <c r="G11" s="131"/>
      <c r="H11" s="130"/>
      <c r="I11" s="130"/>
      <c r="J11" s="130"/>
      <c r="K11" s="130"/>
      <c r="L11" s="130"/>
      <c r="M11" s="130"/>
      <c r="N11" s="132"/>
      <c r="O11" s="130"/>
      <c r="P11" s="130"/>
      <c r="Q11" s="130"/>
      <c r="R11" s="131"/>
      <c r="S11" s="130"/>
      <c r="T11" s="130"/>
      <c r="U11" s="130"/>
      <c r="V11" s="130"/>
      <c r="W11" s="130"/>
      <c r="X11" s="130"/>
      <c r="Y11" s="130"/>
      <c r="Z11" s="130"/>
      <c r="AA11" s="130"/>
    </row>
    <row r="12" spans="1:28" ht="15" thickBot="1">
      <c r="A12" s="133" t="s">
        <v>299</v>
      </c>
      <c r="B12" s="127"/>
      <c r="C12" s="128"/>
      <c r="D12" s="128"/>
      <c r="E12" s="129"/>
      <c r="F12" s="130"/>
      <c r="G12" s="131"/>
      <c r="H12" s="130"/>
      <c r="I12" s="130"/>
      <c r="J12" s="130"/>
      <c r="K12" s="130"/>
      <c r="L12" s="130"/>
      <c r="M12" s="130"/>
      <c r="N12" s="132"/>
      <c r="O12" s="130"/>
      <c r="P12" s="130"/>
      <c r="Q12" s="130"/>
      <c r="R12" s="131"/>
      <c r="S12" s="130"/>
      <c r="T12" s="130"/>
      <c r="U12" s="130"/>
      <c r="V12" s="130"/>
      <c r="W12" s="130"/>
      <c r="X12" s="130"/>
      <c r="Y12" s="130"/>
      <c r="Z12" s="130"/>
      <c r="AA12" s="130"/>
    </row>
    <row r="13" spans="1:28" ht="15" thickBot="1">
      <c r="A13" s="155">
        <v>41326</v>
      </c>
      <c r="B13" s="127"/>
      <c r="C13" s="128"/>
      <c r="D13" s="128"/>
      <c r="E13" s="129"/>
      <c r="F13" s="130"/>
      <c r="G13" s="131"/>
      <c r="H13" s="130"/>
      <c r="I13" s="130"/>
      <c r="J13" s="130"/>
      <c r="K13" s="130"/>
      <c r="L13" s="130"/>
      <c r="M13" s="130"/>
      <c r="N13" s="130"/>
      <c r="O13" s="132"/>
      <c r="P13" s="130"/>
      <c r="Q13" s="130"/>
      <c r="R13" s="130"/>
      <c r="S13" s="131"/>
      <c r="T13" s="130"/>
      <c r="U13" s="130"/>
      <c r="V13" s="130"/>
      <c r="W13" s="130"/>
      <c r="X13" s="130"/>
      <c r="Y13" s="131"/>
      <c r="Z13" s="130"/>
      <c r="AA13" s="130"/>
      <c r="AB13" s="130"/>
    </row>
    <row r="14" spans="1:28" s="160" customFormat="1" ht="24" customHeight="1">
      <c r="A14" s="59" t="s">
        <v>370</v>
      </c>
      <c r="B14" s="156" t="s">
        <v>108</v>
      </c>
      <c r="C14" s="157" t="s">
        <v>301</v>
      </c>
      <c r="D14" s="157" t="s">
        <v>302</v>
      </c>
      <c r="E14" s="157" t="s">
        <v>303</v>
      </c>
      <c r="F14" s="157" t="s">
        <v>304</v>
      </c>
      <c r="G14" s="158" t="s">
        <v>305</v>
      </c>
      <c r="H14" s="158" t="s">
        <v>306</v>
      </c>
      <c r="I14" s="158" t="s">
        <v>307</v>
      </c>
      <c r="J14" s="157" t="s">
        <v>308</v>
      </c>
      <c r="K14" s="157" t="s">
        <v>309</v>
      </c>
      <c r="L14" s="157" t="s">
        <v>310</v>
      </c>
      <c r="M14" s="157" t="s">
        <v>311</v>
      </c>
      <c r="N14" s="157" t="s">
        <v>312</v>
      </c>
      <c r="O14" s="157" t="s">
        <v>313</v>
      </c>
      <c r="P14" s="157" t="s">
        <v>314</v>
      </c>
      <c r="Q14" s="157" t="s">
        <v>315</v>
      </c>
      <c r="R14" s="158" t="s">
        <v>316</v>
      </c>
      <c r="S14" s="157" t="s">
        <v>317</v>
      </c>
      <c r="T14" s="157" t="s">
        <v>318</v>
      </c>
      <c r="U14" s="157" t="s">
        <v>319</v>
      </c>
      <c r="V14" s="159" t="s">
        <v>320</v>
      </c>
      <c r="W14" s="157" t="s">
        <v>321</v>
      </c>
      <c r="X14" s="158" t="s">
        <v>322</v>
      </c>
    </row>
    <row r="15" spans="1:28">
      <c r="A15" s="161">
        <v>143027007</v>
      </c>
      <c r="B15" s="162" t="s">
        <v>109</v>
      </c>
      <c r="C15" s="163" t="s">
        <v>324</v>
      </c>
      <c r="D15" s="164" t="s">
        <v>325</v>
      </c>
      <c r="E15" s="163" t="s">
        <v>326</v>
      </c>
      <c r="F15" s="164" t="s">
        <v>325</v>
      </c>
      <c r="G15" s="165">
        <v>49.57</v>
      </c>
      <c r="H15" s="165">
        <v>24.3</v>
      </c>
      <c r="I15" s="165">
        <v>25.27</v>
      </c>
      <c r="J15" s="166">
        <v>41325</v>
      </c>
      <c r="K15" s="166">
        <v>41319</v>
      </c>
      <c r="L15" s="167">
        <v>29</v>
      </c>
      <c r="M15" s="163" t="s">
        <v>327</v>
      </c>
      <c r="N15" s="168" t="s">
        <v>328</v>
      </c>
      <c r="O15" s="167">
        <v>56</v>
      </c>
      <c r="P15" s="130"/>
      <c r="Q15" s="130"/>
      <c r="R15" s="165">
        <v>25.27</v>
      </c>
      <c r="S15" s="130"/>
      <c r="T15" s="130"/>
      <c r="U15" s="164" t="s">
        <v>325</v>
      </c>
      <c r="V15" s="164" t="s">
        <v>325</v>
      </c>
      <c r="W15" s="130"/>
      <c r="X15" s="165">
        <v>0</v>
      </c>
    </row>
    <row r="16" spans="1:28">
      <c r="A16" s="161">
        <v>173880101</v>
      </c>
      <c r="B16" s="162" t="s">
        <v>109</v>
      </c>
      <c r="C16" s="163" t="s">
        <v>329</v>
      </c>
      <c r="D16" s="164" t="s">
        <v>325</v>
      </c>
      <c r="E16" s="163" t="s">
        <v>330</v>
      </c>
      <c r="F16" s="164" t="s">
        <v>325</v>
      </c>
      <c r="G16" s="165">
        <v>26.04</v>
      </c>
      <c r="H16" s="165">
        <v>13.9</v>
      </c>
      <c r="I16" s="165">
        <v>12.14</v>
      </c>
      <c r="J16" s="166">
        <v>41325</v>
      </c>
      <c r="K16" s="166">
        <v>41325</v>
      </c>
      <c r="L16" s="167">
        <v>29</v>
      </c>
      <c r="M16" s="163" t="s">
        <v>327</v>
      </c>
      <c r="N16" s="169" t="s">
        <v>325</v>
      </c>
      <c r="O16" s="167">
        <v>68</v>
      </c>
      <c r="P16" s="130"/>
      <c r="Q16" s="130"/>
      <c r="R16" s="165">
        <v>12.14</v>
      </c>
      <c r="S16" s="130"/>
      <c r="T16" s="130"/>
      <c r="U16" s="164" t="s">
        <v>325</v>
      </c>
      <c r="V16" s="164" t="s">
        <v>325</v>
      </c>
      <c r="W16" s="130"/>
      <c r="X16" s="165">
        <v>0</v>
      </c>
    </row>
    <row r="17" spans="1:24">
      <c r="A17" s="161">
        <v>208811116</v>
      </c>
      <c r="B17" s="162" t="s">
        <v>109</v>
      </c>
      <c r="C17" s="163" t="s">
        <v>331</v>
      </c>
      <c r="D17" s="164" t="s">
        <v>325</v>
      </c>
      <c r="E17" s="163" t="s">
        <v>332</v>
      </c>
      <c r="F17" s="164" t="s">
        <v>325</v>
      </c>
      <c r="G17" s="165">
        <v>296.79000000000002</v>
      </c>
      <c r="H17" s="165">
        <v>149.68</v>
      </c>
      <c r="I17" s="165">
        <v>147.11000000000001</v>
      </c>
      <c r="J17" s="166">
        <v>41317</v>
      </c>
      <c r="K17" s="166">
        <v>41312</v>
      </c>
      <c r="L17" s="167">
        <v>29</v>
      </c>
      <c r="M17" s="163" t="s">
        <v>327</v>
      </c>
      <c r="N17" s="168" t="s">
        <v>333</v>
      </c>
      <c r="O17" s="167">
        <v>1890</v>
      </c>
      <c r="P17" s="167">
        <v>6.1</v>
      </c>
      <c r="Q17" s="167">
        <v>0.4451667608818542</v>
      </c>
      <c r="R17" s="165">
        <v>147.11000000000001</v>
      </c>
      <c r="S17" s="130"/>
      <c r="T17" s="130"/>
      <c r="U17" s="164" t="s">
        <v>325</v>
      </c>
      <c r="V17" s="164" t="s">
        <v>325</v>
      </c>
      <c r="W17" s="130"/>
      <c r="X17" s="165">
        <v>0</v>
      </c>
    </row>
    <row r="18" spans="1:24">
      <c r="A18" s="161">
        <v>248811109</v>
      </c>
      <c r="B18" s="162" t="s">
        <v>109</v>
      </c>
      <c r="C18" s="163" t="s">
        <v>334</v>
      </c>
      <c r="D18" s="164" t="s">
        <v>325</v>
      </c>
      <c r="E18" s="164" t="s">
        <v>325</v>
      </c>
      <c r="F18" s="163" t="s">
        <v>335</v>
      </c>
      <c r="G18" s="165">
        <v>569.98</v>
      </c>
      <c r="H18" s="165">
        <v>286.5</v>
      </c>
      <c r="I18" s="165">
        <v>283.48</v>
      </c>
      <c r="J18" s="166">
        <v>41317</v>
      </c>
      <c r="K18" s="130"/>
      <c r="L18" s="130"/>
      <c r="M18" s="164" t="s">
        <v>325</v>
      </c>
      <c r="N18" s="169" t="s">
        <v>325</v>
      </c>
      <c r="O18" s="130"/>
      <c r="P18" s="130"/>
      <c r="Q18" s="130"/>
      <c r="R18" s="165">
        <v>0</v>
      </c>
      <c r="S18" s="166">
        <v>41313</v>
      </c>
      <c r="T18" s="167">
        <v>28</v>
      </c>
      <c r="U18" s="163" t="s">
        <v>327</v>
      </c>
      <c r="V18" s="163" t="s">
        <v>336</v>
      </c>
      <c r="W18" s="167">
        <v>900</v>
      </c>
      <c r="X18" s="165">
        <v>283.48</v>
      </c>
    </row>
    <row r="19" spans="1:24">
      <c r="A19" s="161">
        <v>288811101</v>
      </c>
      <c r="B19" s="162" t="s">
        <v>109</v>
      </c>
      <c r="C19" s="163" t="s">
        <v>337</v>
      </c>
      <c r="D19" s="164" t="s">
        <v>325</v>
      </c>
      <c r="E19" s="163" t="s">
        <v>332</v>
      </c>
      <c r="F19" s="164" t="s">
        <v>325</v>
      </c>
      <c r="G19" s="165">
        <v>869.74</v>
      </c>
      <c r="H19" s="165">
        <v>433.54</v>
      </c>
      <c r="I19" s="165">
        <v>436.2</v>
      </c>
      <c r="J19" s="166">
        <v>41317</v>
      </c>
      <c r="K19" s="166">
        <v>41312</v>
      </c>
      <c r="L19" s="167">
        <v>29</v>
      </c>
      <c r="M19" s="163" t="s">
        <v>327</v>
      </c>
      <c r="N19" s="168" t="s">
        <v>338</v>
      </c>
      <c r="O19" s="167">
        <v>7600</v>
      </c>
      <c r="P19" s="167">
        <v>24.8</v>
      </c>
      <c r="Q19" s="167">
        <v>0.44030404152762331</v>
      </c>
      <c r="R19" s="165">
        <v>436.2</v>
      </c>
      <c r="S19" s="130"/>
      <c r="T19" s="130"/>
      <c r="U19" s="164" t="s">
        <v>325</v>
      </c>
      <c r="V19" s="164" t="s">
        <v>325</v>
      </c>
      <c r="W19" s="130"/>
      <c r="X19" s="165">
        <v>0</v>
      </c>
    </row>
    <row r="20" spans="1:24">
      <c r="A20" s="161">
        <v>293879106</v>
      </c>
      <c r="B20" s="162" t="s">
        <v>109</v>
      </c>
      <c r="C20" s="163" t="s">
        <v>339</v>
      </c>
      <c r="D20" s="163" t="s">
        <v>340</v>
      </c>
      <c r="E20" s="163" t="s">
        <v>330</v>
      </c>
      <c r="F20" s="164" t="s">
        <v>325</v>
      </c>
      <c r="G20" s="165">
        <v>573.58000000000004</v>
      </c>
      <c r="H20" s="165">
        <v>296.39</v>
      </c>
      <c r="I20" s="165">
        <v>277.19</v>
      </c>
      <c r="J20" s="166">
        <v>41325</v>
      </c>
      <c r="K20" s="166">
        <v>41325</v>
      </c>
      <c r="L20" s="167">
        <v>29</v>
      </c>
      <c r="M20" s="163" t="s">
        <v>327</v>
      </c>
      <c r="N20" s="169" t="s">
        <v>325</v>
      </c>
      <c r="O20" s="167">
        <v>842</v>
      </c>
      <c r="P20" s="130"/>
      <c r="Q20" s="130"/>
      <c r="R20" s="165">
        <v>277.19</v>
      </c>
      <c r="S20" s="130"/>
      <c r="T20" s="130"/>
      <c r="U20" s="164" t="s">
        <v>325</v>
      </c>
      <c r="V20" s="164" t="s">
        <v>325</v>
      </c>
      <c r="W20" s="130"/>
      <c r="X20" s="165">
        <v>0</v>
      </c>
    </row>
    <row r="21" spans="1:24">
      <c r="A21" s="161">
        <v>308809118</v>
      </c>
      <c r="B21" s="162" t="s">
        <v>109</v>
      </c>
      <c r="C21" s="163" t="s">
        <v>341</v>
      </c>
      <c r="D21" s="164" t="s">
        <v>325</v>
      </c>
      <c r="E21" s="163" t="s">
        <v>342</v>
      </c>
      <c r="F21" s="163" t="s">
        <v>236</v>
      </c>
      <c r="G21" s="165">
        <v>1007.22</v>
      </c>
      <c r="H21" s="165">
        <v>480.97</v>
      </c>
      <c r="I21" s="165">
        <v>526.25</v>
      </c>
      <c r="J21" s="166">
        <v>41317</v>
      </c>
      <c r="K21" s="166">
        <v>41313</v>
      </c>
      <c r="L21" s="167">
        <v>28</v>
      </c>
      <c r="M21" s="163" t="s">
        <v>327</v>
      </c>
      <c r="N21" s="168" t="s">
        <v>237</v>
      </c>
      <c r="O21" s="167">
        <v>956</v>
      </c>
      <c r="P21" s="130"/>
      <c r="Q21" s="130"/>
      <c r="R21" s="165">
        <v>76.3</v>
      </c>
      <c r="S21" s="166">
        <v>41313</v>
      </c>
      <c r="T21" s="167">
        <v>28</v>
      </c>
      <c r="U21" s="163" t="s">
        <v>327</v>
      </c>
      <c r="V21" s="163" t="s">
        <v>238</v>
      </c>
      <c r="W21" s="167">
        <v>599</v>
      </c>
      <c r="X21" s="165">
        <v>449.95</v>
      </c>
    </row>
    <row r="22" spans="1:24">
      <c r="A22" s="161">
        <v>375074007</v>
      </c>
      <c r="B22" s="162" t="s">
        <v>109</v>
      </c>
      <c r="C22" s="163" t="s">
        <v>239</v>
      </c>
      <c r="D22" s="164" t="s">
        <v>325</v>
      </c>
      <c r="E22" s="163" t="s">
        <v>326</v>
      </c>
      <c r="F22" s="164" t="s">
        <v>325</v>
      </c>
      <c r="G22" s="165">
        <v>53.83</v>
      </c>
      <c r="H22" s="165">
        <v>53.83</v>
      </c>
      <c r="I22" s="165">
        <v>0</v>
      </c>
      <c r="J22" s="166">
        <v>41296</v>
      </c>
      <c r="K22" s="130"/>
      <c r="L22" s="130"/>
      <c r="M22" s="164" t="s">
        <v>325</v>
      </c>
      <c r="N22" s="168" t="s">
        <v>241</v>
      </c>
      <c r="O22" s="130"/>
      <c r="P22" s="130"/>
      <c r="Q22" s="130"/>
      <c r="R22" s="165">
        <v>0</v>
      </c>
      <c r="S22" s="130"/>
      <c r="T22" s="130"/>
      <c r="U22" s="164" t="s">
        <v>325</v>
      </c>
      <c r="V22" s="164" t="s">
        <v>325</v>
      </c>
      <c r="W22" s="130"/>
      <c r="X22" s="165">
        <v>0</v>
      </c>
    </row>
    <row r="23" spans="1:24">
      <c r="A23" s="161">
        <v>783104003</v>
      </c>
      <c r="B23" s="162" t="s">
        <v>109</v>
      </c>
      <c r="C23" s="163" t="s">
        <v>242</v>
      </c>
      <c r="D23" s="164" t="s">
        <v>325</v>
      </c>
      <c r="E23" s="163" t="s">
        <v>326</v>
      </c>
      <c r="F23" s="164" t="s">
        <v>325</v>
      </c>
      <c r="G23" s="165">
        <v>47.46</v>
      </c>
      <c r="H23" s="165">
        <v>24.77</v>
      </c>
      <c r="I23" s="165">
        <v>22.69</v>
      </c>
      <c r="J23" s="166">
        <v>41317</v>
      </c>
      <c r="K23" s="166">
        <v>41312</v>
      </c>
      <c r="L23" s="167">
        <v>28</v>
      </c>
      <c r="M23" s="163" t="s">
        <v>327</v>
      </c>
      <c r="N23" s="168" t="s">
        <v>243</v>
      </c>
      <c r="O23" s="167">
        <v>22</v>
      </c>
      <c r="P23" s="130"/>
      <c r="Q23" s="130"/>
      <c r="R23" s="165">
        <v>22.69</v>
      </c>
      <c r="S23" s="130"/>
      <c r="T23" s="130"/>
      <c r="U23" s="164" t="s">
        <v>325</v>
      </c>
      <c r="V23" s="164" t="s">
        <v>325</v>
      </c>
      <c r="W23" s="130"/>
      <c r="X23" s="165">
        <v>0</v>
      </c>
    </row>
    <row r="24" spans="1:24">
      <c r="A24" s="161">
        <v>852028007</v>
      </c>
      <c r="B24" s="162" t="s">
        <v>109</v>
      </c>
      <c r="C24" s="163" t="s">
        <v>244</v>
      </c>
      <c r="D24" s="164" t="s">
        <v>325</v>
      </c>
      <c r="E24" s="164" t="s">
        <v>325</v>
      </c>
      <c r="F24" s="163" t="s">
        <v>335</v>
      </c>
      <c r="G24" s="165">
        <v>304.87</v>
      </c>
      <c r="H24" s="165">
        <v>147.12</v>
      </c>
      <c r="I24" s="165">
        <v>157.75</v>
      </c>
      <c r="J24" s="166">
        <v>41325</v>
      </c>
      <c r="K24" s="130"/>
      <c r="L24" s="130"/>
      <c r="M24" s="164" t="s">
        <v>325</v>
      </c>
      <c r="N24" s="169" t="s">
        <v>325</v>
      </c>
      <c r="O24" s="130"/>
      <c r="P24" s="130"/>
      <c r="Q24" s="130"/>
      <c r="R24" s="165">
        <v>0</v>
      </c>
      <c r="S24" s="166">
        <v>41319</v>
      </c>
      <c r="T24" s="167">
        <v>29</v>
      </c>
      <c r="U24" s="163" t="s">
        <v>327</v>
      </c>
      <c r="V24" s="163" t="s">
        <v>245</v>
      </c>
      <c r="W24" s="167">
        <v>406</v>
      </c>
      <c r="X24" s="165">
        <v>157.75</v>
      </c>
    </row>
    <row r="25" spans="1:24">
      <c r="A25" s="161">
        <v>893816110</v>
      </c>
      <c r="B25" s="162" t="s">
        <v>109</v>
      </c>
      <c r="C25" s="163" t="s">
        <v>246</v>
      </c>
      <c r="D25" s="164" t="s">
        <v>325</v>
      </c>
      <c r="E25" s="163" t="s">
        <v>326</v>
      </c>
      <c r="F25" s="164" t="s">
        <v>325</v>
      </c>
      <c r="G25" s="165">
        <v>62.5</v>
      </c>
      <c r="H25" s="165">
        <v>34.29</v>
      </c>
      <c r="I25" s="165">
        <v>28.21</v>
      </c>
      <c r="J25" s="166">
        <v>41325</v>
      </c>
      <c r="K25" s="166">
        <v>41320</v>
      </c>
      <c r="L25" s="167">
        <v>25</v>
      </c>
      <c r="M25" s="163" t="s">
        <v>327</v>
      </c>
      <c r="N25" s="168" t="s">
        <v>247</v>
      </c>
      <c r="O25" s="167">
        <v>95</v>
      </c>
      <c r="P25" s="130"/>
      <c r="Q25" s="130"/>
      <c r="R25" s="165">
        <v>28.21</v>
      </c>
      <c r="S25" s="130"/>
      <c r="T25" s="130"/>
      <c r="U25" s="164" t="s">
        <v>325</v>
      </c>
      <c r="V25" s="164" t="s">
        <v>325</v>
      </c>
      <c r="W25" s="130"/>
      <c r="X25" s="165">
        <v>0</v>
      </c>
    </row>
    <row r="26" spans="1:24">
      <c r="A26" s="161">
        <v>893819102</v>
      </c>
      <c r="B26" s="162" t="s">
        <v>109</v>
      </c>
      <c r="C26" s="163" t="s">
        <v>248</v>
      </c>
      <c r="D26" s="164" t="s">
        <v>325</v>
      </c>
      <c r="E26" s="164" t="s">
        <v>325</v>
      </c>
      <c r="F26" s="163" t="s">
        <v>335</v>
      </c>
      <c r="G26" s="165">
        <v>166.54</v>
      </c>
      <c r="H26" s="165">
        <v>79.56</v>
      </c>
      <c r="I26" s="165">
        <v>86.98</v>
      </c>
      <c r="J26" s="166">
        <v>41325</v>
      </c>
      <c r="K26" s="130"/>
      <c r="L26" s="130"/>
      <c r="M26" s="164" t="s">
        <v>325</v>
      </c>
      <c r="N26" s="169" t="s">
        <v>325</v>
      </c>
      <c r="O26" s="130"/>
      <c r="P26" s="130"/>
      <c r="Q26" s="130"/>
      <c r="R26" s="165">
        <v>0</v>
      </c>
      <c r="S26" s="166">
        <v>41319</v>
      </c>
      <c r="T26" s="167">
        <v>29</v>
      </c>
      <c r="U26" s="163" t="s">
        <v>327</v>
      </c>
      <c r="V26" s="163" t="s">
        <v>249</v>
      </c>
      <c r="W26" s="167">
        <v>171</v>
      </c>
      <c r="X26" s="165">
        <v>86.98</v>
      </c>
    </row>
    <row r="27" spans="1:24">
      <c r="A27" s="161">
        <v>913819100</v>
      </c>
      <c r="B27" s="162" t="s">
        <v>109</v>
      </c>
      <c r="C27" s="163" t="s">
        <v>250</v>
      </c>
      <c r="D27" s="164" t="s">
        <v>325</v>
      </c>
      <c r="E27" s="164" t="s">
        <v>325</v>
      </c>
      <c r="F27" s="163" t="s">
        <v>335</v>
      </c>
      <c r="G27" s="165">
        <v>241.77</v>
      </c>
      <c r="H27" s="165">
        <v>124.33</v>
      </c>
      <c r="I27" s="165">
        <v>117.44</v>
      </c>
      <c r="J27" s="166">
        <v>41325</v>
      </c>
      <c r="K27" s="130"/>
      <c r="L27" s="130"/>
      <c r="M27" s="164" t="s">
        <v>325</v>
      </c>
      <c r="N27" s="169" t="s">
        <v>325</v>
      </c>
      <c r="O27" s="130"/>
      <c r="P27" s="130"/>
      <c r="Q27" s="130"/>
      <c r="R27" s="165">
        <v>0</v>
      </c>
      <c r="S27" s="166">
        <v>41319</v>
      </c>
      <c r="T27" s="167">
        <v>29</v>
      </c>
      <c r="U27" s="163" t="s">
        <v>327</v>
      </c>
      <c r="V27" s="163" t="s">
        <v>251</v>
      </c>
      <c r="W27" s="167">
        <v>252</v>
      </c>
      <c r="X27" s="165">
        <v>117.44</v>
      </c>
    </row>
    <row r="28" spans="1:24">
      <c r="A28" s="161">
        <v>933819115</v>
      </c>
      <c r="B28" s="162" t="s">
        <v>109</v>
      </c>
      <c r="C28" s="163" t="s">
        <v>252</v>
      </c>
      <c r="D28" s="164" t="s">
        <v>325</v>
      </c>
      <c r="E28" s="164" t="s">
        <v>325</v>
      </c>
      <c r="F28" s="163" t="s">
        <v>335</v>
      </c>
      <c r="G28" s="165">
        <v>329.44</v>
      </c>
      <c r="H28" s="165">
        <v>151.16</v>
      </c>
      <c r="I28" s="165">
        <v>178.28</v>
      </c>
      <c r="J28" s="166">
        <v>41325</v>
      </c>
      <c r="K28" s="130"/>
      <c r="L28" s="130"/>
      <c r="M28" s="164" t="s">
        <v>325</v>
      </c>
      <c r="N28" s="169" t="s">
        <v>325</v>
      </c>
      <c r="O28" s="130"/>
      <c r="P28" s="130"/>
      <c r="Q28" s="130"/>
      <c r="R28" s="165">
        <v>0</v>
      </c>
      <c r="S28" s="166">
        <v>41319</v>
      </c>
      <c r="T28" s="167">
        <v>29</v>
      </c>
      <c r="U28" s="163" t="s">
        <v>327</v>
      </c>
      <c r="V28" s="163" t="s">
        <v>253</v>
      </c>
      <c r="W28" s="167">
        <v>491</v>
      </c>
      <c r="X28" s="165">
        <v>178.28</v>
      </c>
    </row>
    <row r="29" spans="1:24">
      <c r="A29" s="161">
        <v>948810124</v>
      </c>
      <c r="B29" s="162" t="s">
        <v>109</v>
      </c>
      <c r="C29" s="163" t="s">
        <v>254</v>
      </c>
      <c r="D29" s="164" t="s">
        <v>325</v>
      </c>
      <c r="E29" s="163" t="s">
        <v>255</v>
      </c>
      <c r="F29" s="164" t="s">
        <v>325</v>
      </c>
      <c r="G29" s="165">
        <v>183.63</v>
      </c>
      <c r="H29" s="165">
        <v>87.28</v>
      </c>
      <c r="I29" s="165">
        <v>96.35</v>
      </c>
      <c r="J29" s="166">
        <v>41317</v>
      </c>
      <c r="K29" s="166">
        <v>41312</v>
      </c>
      <c r="L29" s="167">
        <v>29</v>
      </c>
      <c r="M29" s="163" t="s">
        <v>327</v>
      </c>
      <c r="N29" s="168" t="s">
        <v>256</v>
      </c>
      <c r="O29" s="167">
        <v>471</v>
      </c>
      <c r="P29" s="130"/>
      <c r="Q29" s="130"/>
      <c r="R29" s="165">
        <v>96.35</v>
      </c>
      <c r="S29" s="130"/>
      <c r="T29" s="130"/>
      <c r="U29" s="164" t="s">
        <v>325</v>
      </c>
      <c r="V29" s="164" t="s">
        <v>325</v>
      </c>
      <c r="W29" s="130"/>
      <c r="X29" s="165">
        <v>0</v>
      </c>
    </row>
    <row r="30" spans="1:24">
      <c r="A30" s="161">
        <v>1028809119</v>
      </c>
      <c r="B30" s="162" t="s">
        <v>109</v>
      </c>
      <c r="C30" s="163" t="s">
        <v>257</v>
      </c>
      <c r="D30" s="164" t="s">
        <v>325</v>
      </c>
      <c r="E30" s="163" t="s">
        <v>255</v>
      </c>
      <c r="F30" s="164" t="s">
        <v>325</v>
      </c>
      <c r="G30" s="165">
        <v>41.67</v>
      </c>
      <c r="H30" s="165">
        <v>20.65</v>
      </c>
      <c r="I30" s="165">
        <v>21.02</v>
      </c>
      <c r="J30" s="166">
        <v>41317</v>
      </c>
      <c r="K30" s="166">
        <v>41313</v>
      </c>
      <c r="L30" s="167">
        <v>28</v>
      </c>
      <c r="M30" s="163" t="s">
        <v>327</v>
      </c>
      <c r="N30" s="168" t="s">
        <v>258</v>
      </c>
      <c r="O30" s="167">
        <v>0</v>
      </c>
      <c r="P30" s="130"/>
      <c r="Q30" s="130"/>
      <c r="R30" s="165">
        <v>21.02</v>
      </c>
      <c r="S30" s="130"/>
      <c r="T30" s="130"/>
      <c r="U30" s="164" t="s">
        <v>325</v>
      </c>
      <c r="V30" s="164" t="s">
        <v>325</v>
      </c>
      <c r="W30" s="130"/>
      <c r="X30" s="165">
        <v>0</v>
      </c>
    </row>
    <row r="31" spans="1:24">
      <c r="A31" s="161">
        <v>1133133008</v>
      </c>
      <c r="B31" s="162" t="s">
        <v>109</v>
      </c>
      <c r="C31" s="163" t="s">
        <v>259</v>
      </c>
      <c r="D31" s="164" t="s">
        <v>325</v>
      </c>
      <c r="E31" s="163" t="s">
        <v>326</v>
      </c>
      <c r="F31" s="164" t="s">
        <v>325</v>
      </c>
      <c r="G31" s="165">
        <v>64.349999999999994</v>
      </c>
      <c r="H31" s="165">
        <v>32.64</v>
      </c>
      <c r="I31" s="165">
        <v>31.71</v>
      </c>
      <c r="J31" s="166">
        <v>41311</v>
      </c>
      <c r="K31" s="166">
        <v>41306</v>
      </c>
      <c r="L31" s="167">
        <v>28</v>
      </c>
      <c r="M31" s="163" t="s">
        <v>327</v>
      </c>
      <c r="N31" s="168" t="s">
        <v>260</v>
      </c>
      <c r="O31" s="167">
        <v>141</v>
      </c>
      <c r="P31" s="130"/>
      <c r="Q31" s="130"/>
      <c r="R31" s="165">
        <v>31.71</v>
      </c>
      <c r="S31" s="130"/>
      <c r="T31" s="130"/>
      <c r="U31" s="164" t="s">
        <v>325</v>
      </c>
      <c r="V31" s="164" t="s">
        <v>325</v>
      </c>
      <c r="W31" s="130"/>
      <c r="X31" s="165">
        <v>0</v>
      </c>
    </row>
    <row r="32" spans="1:24" ht="15">
      <c r="A32" s="161">
        <v>1133819101</v>
      </c>
      <c r="B32" s="162" t="s">
        <v>109</v>
      </c>
      <c r="C32" s="163" t="s">
        <v>261</v>
      </c>
      <c r="D32" s="164" t="s">
        <v>325</v>
      </c>
      <c r="E32" s="163" t="s">
        <v>326</v>
      </c>
      <c r="F32" s="170" t="s">
        <v>325</v>
      </c>
      <c r="G32" s="165">
        <v>109.22</v>
      </c>
      <c r="H32" s="165">
        <v>57.32</v>
      </c>
      <c r="I32" s="165">
        <v>51.9</v>
      </c>
      <c r="J32" s="166">
        <v>41325</v>
      </c>
      <c r="K32" s="166">
        <v>41319</v>
      </c>
      <c r="L32" s="167">
        <v>28</v>
      </c>
      <c r="M32" s="163" t="s">
        <v>327</v>
      </c>
      <c r="N32" s="168" t="s">
        <v>262</v>
      </c>
      <c r="O32" s="167">
        <v>408</v>
      </c>
      <c r="P32" s="130"/>
      <c r="Q32" s="130"/>
      <c r="R32" s="165">
        <v>51.9</v>
      </c>
      <c r="S32" s="130"/>
      <c r="T32" s="130"/>
      <c r="U32" s="170" t="s">
        <v>325</v>
      </c>
      <c r="V32" s="170" t="s">
        <v>325</v>
      </c>
      <c r="W32" s="130"/>
      <c r="X32" s="165">
        <v>0</v>
      </c>
    </row>
    <row r="33" spans="1:24" ht="15">
      <c r="A33" s="161">
        <v>1193808115</v>
      </c>
      <c r="B33" s="162" t="s">
        <v>109</v>
      </c>
      <c r="C33" s="163" t="s">
        <v>263</v>
      </c>
      <c r="D33" s="170" t="s">
        <v>325</v>
      </c>
      <c r="E33" s="163" t="s">
        <v>326</v>
      </c>
      <c r="F33" s="164" t="s">
        <v>325</v>
      </c>
      <c r="G33" s="165">
        <v>63.13</v>
      </c>
      <c r="H33" s="165">
        <v>26.58</v>
      </c>
      <c r="I33" s="165">
        <v>36.549999999999997</v>
      </c>
      <c r="J33" s="166">
        <v>41325</v>
      </c>
      <c r="K33" s="166">
        <v>41319</v>
      </c>
      <c r="L33" s="167">
        <v>29</v>
      </c>
      <c r="M33" s="163" t="s">
        <v>327</v>
      </c>
      <c r="N33" s="168" t="s">
        <v>264</v>
      </c>
      <c r="O33" s="167">
        <v>205</v>
      </c>
      <c r="P33" s="130"/>
      <c r="Q33" s="130"/>
      <c r="R33" s="165">
        <v>36.549999999999997</v>
      </c>
      <c r="S33" s="130"/>
      <c r="T33" s="130"/>
      <c r="U33" s="164" t="s">
        <v>325</v>
      </c>
      <c r="V33" s="164" t="s">
        <v>325</v>
      </c>
      <c r="W33" s="130"/>
      <c r="X33" s="165">
        <v>0</v>
      </c>
    </row>
    <row r="34" spans="1:24">
      <c r="A34" s="161">
        <v>1492627005</v>
      </c>
      <c r="B34" s="162" t="s">
        <v>109</v>
      </c>
      <c r="C34" s="163" t="s">
        <v>265</v>
      </c>
      <c r="D34" s="164" t="s">
        <v>325</v>
      </c>
      <c r="E34" s="163" t="s">
        <v>326</v>
      </c>
      <c r="F34" s="164" t="s">
        <v>325</v>
      </c>
      <c r="G34" s="165">
        <v>51.97</v>
      </c>
      <c r="H34" s="165">
        <v>24.95</v>
      </c>
      <c r="I34" s="165">
        <v>27.02</v>
      </c>
      <c r="J34" s="166">
        <v>41317</v>
      </c>
      <c r="K34" s="166">
        <v>41312</v>
      </c>
      <c r="L34" s="167">
        <v>27</v>
      </c>
      <c r="M34" s="163" t="s">
        <v>327</v>
      </c>
      <c r="N34" s="168" t="s">
        <v>266</v>
      </c>
      <c r="O34" s="167">
        <v>79</v>
      </c>
      <c r="P34" s="130"/>
      <c r="Q34" s="130"/>
      <c r="R34" s="165">
        <v>27.02</v>
      </c>
      <c r="S34" s="130"/>
      <c r="T34" s="130"/>
      <c r="U34" s="164" t="s">
        <v>325</v>
      </c>
      <c r="V34" s="164" t="s">
        <v>325</v>
      </c>
      <c r="W34" s="130"/>
      <c r="X34" s="165">
        <v>0</v>
      </c>
    </row>
    <row r="35" spans="1:24" ht="15">
      <c r="A35" s="161">
        <v>1513818115</v>
      </c>
      <c r="B35" s="162" t="s">
        <v>109</v>
      </c>
      <c r="C35" s="163" t="s">
        <v>267</v>
      </c>
      <c r="D35" s="164" t="s">
        <v>325</v>
      </c>
      <c r="E35" s="163" t="s">
        <v>326</v>
      </c>
      <c r="F35" s="170" t="s">
        <v>325</v>
      </c>
      <c r="G35" s="165">
        <v>68.3</v>
      </c>
      <c r="H35" s="165">
        <v>33.200000000000003</v>
      </c>
      <c r="I35" s="165">
        <v>35.1</v>
      </c>
      <c r="J35" s="166">
        <v>41325</v>
      </c>
      <c r="K35" s="166">
        <v>41319</v>
      </c>
      <c r="L35" s="167">
        <v>29</v>
      </c>
      <c r="M35" s="163" t="s">
        <v>327</v>
      </c>
      <c r="N35" s="168" t="s">
        <v>268</v>
      </c>
      <c r="O35" s="167">
        <v>186</v>
      </c>
      <c r="P35" s="130"/>
      <c r="Q35" s="130"/>
      <c r="R35" s="165">
        <v>35.1</v>
      </c>
      <c r="S35" s="130"/>
      <c r="T35" s="130"/>
      <c r="U35" s="170" t="s">
        <v>325</v>
      </c>
      <c r="V35" s="170" t="s">
        <v>325</v>
      </c>
      <c r="W35" s="130"/>
      <c r="X35" s="165">
        <v>0</v>
      </c>
    </row>
    <row r="36" spans="1:24" ht="15">
      <c r="A36" s="161">
        <v>1608811106</v>
      </c>
      <c r="B36" s="162" t="s">
        <v>109</v>
      </c>
      <c r="C36" s="163" t="s">
        <v>337</v>
      </c>
      <c r="D36" s="170" t="s">
        <v>325</v>
      </c>
      <c r="E36" s="163" t="s">
        <v>332</v>
      </c>
      <c r="F36" s="170" t="s">
        <v>325</v>
      </c>
      <c r="G36" s="165">
        <v>177.37</v>
      </c>
      <c r="H36" s="165">
        <v>92.65</v>
      </c>
      <c r="I36" s="165">
        <v>84.72</v>
      </c>
      <c r="J36" s="166">
        <v>41317</v>
      </c>
      <c r="K36" s="166">
        <v>41316</v>
      </c>
      <c r="L36" s="167">
        <v>28</v>
      </c>
      <c r="M36" s="163" t="s">
        <v>327</v>
      </c>
      <c r="N36" s="168" t="s">
        <v>269</v>
      </c>
      <c r="O36" s="167">
        <v>731</v>
      </c>
      <c r="P36" s="167">
        <v>2</v>
      </c>
      <c r="Q36" s="167">
        <v>0.54389880952380953</v>
      </c>
      <c r="R36" s="165">
        <v>84.72</v>
      </c>
      <c r="S36" s="130"/>
      <c r="T36" s="130"/>
      <c r="U36" s="170" t="s">
        <v>325</v>
      </c>
      <c r="V36" s="170" t="s">
        <v>325</v>
      </c>
      <c r="W36" s="130"/>
      <c r="X36" s="165">
        <v>0</v>
      </c>
    </row>
    <row r="37" spans="1:24" ht="15">
      <c r="A37" s="161">
        <v>1653819107</v>
      </c>
      <c r="B37" s="162" t="s">
        <v>109</v>
      </c>
      <c r="C37" s="163" t="s">
        <v>270</v>
      </c>
      <c r="D37" s="170" t="s">
        <v>325</v>
      </c>
      <c r="E37" s="163" t="s">
        <v>326</v>
      </c>
      <c r="F37" s="164" t="s">
        <v>325</v>
      </c>
      <c r="G37" s="165">
        <v>172.87</v>
      </c>
      <c r="H37" s="165">
        <v>88.98</v>
      </c>
      <c r="I37" s="165">
        <v>83.89</v>
      </c>
      <c r="J37" s="166">
        <v>41325</v>
      </c>
      <c r="K37" s="166">
        <v>41319</v>
      </c>
      <c r="L37" s="167">
        <v>29</v>
      </c>
      <c r="M37" s="163" t="s">
        <v>327</v>
      </c>
      <c r="N37" s="168" t="s">
        <v>271</v>
      </c>
      <c r="O37" s="167">
        <v>830</v>
      </c>
      <c r="P37" s="130"/>
      <c r="Q37" s="130"/>
      <c r="R37" s="165">
        <v>83.89</v>
      </c>
      <c r="S37" s="130"/>
      <c r="T37" s="130"/>
      <c r="U37" s="164" t="s">
        <v>325</v>
      </c>
      <c r="V37" s="164" t="s">
        <v>325</v>
      </c>
      <c r="W37" s="130"/>
      <c r="X37" s="165">
        <v>0</v>
      </c>
    </row>
    <row r="38" spans="1:24">
      <c r="A38" s="161">
        <v>1833820108</v>
      </c>
      <c r="B38" s="162" t="s">
        <v>109</v>
      </c>
      <c r="C38" s="163" t="s">
        <v>272</v>
      </c>
      <c r="D38" s="164" t="s">
        <v>325</v>
      </c>
      <c r="E38" s="163" t="s">
        <v>326</v>
      </c>
      <c r="F38" s="164" t="s">
        <v>325</v>
      </c>
      <c r="G38" s="165">
        <v>176</v>
      </c>
      <c r="H38" s="165">
        <v>91.57</v>
      </c>
      <c r="I38" s="165">
        <v>84.43</v>
      </c>
      <c r="J38" s="166">
        <v>41325</v>
      </c>
      <c r="K38" s="166">
        <v>41319</v>
      </c>
      <c r="L38" s="167">
        <v>29</v>
      </c>
      <c r="M38" s="163" t="s">
        <v>327</v>
      </c>
      <c r="N38" s="168" t="s">
        <v>273</v>
      </c>
      <c r="O38" s="167">
        <v>837</v>
      </c>
      <c r="P38" s="130"/>
      <c r="Q38" s="130"/>
      <c r="R38" s="165">
        <v>84.43</v>
      </c>
      <c r="S38" s="130"/>
      <c r="T38" s="130"/>
      <c r="U38" s="164" t="s">
        <v>325</v>
      </c>
      <c r="V38" s="164" t="s">
        <v>325</v>
      </c>
      <c r="W38" s="130"/>
      <c r="X38" s="165">
        <v>0</v>
      </c>
    </row>
    <row r="39" spans="1:24">
      <c r="A39" s="161">
        <v>1851009009</v>
      </c>
      <c r="B39" s="162" t="s">
        <v>109</v>
      </c>
      <c r="C39" s="163" t="s">
        <v>274</v>
      </c>
      <c r="D39" s="164" t="s">
        <v>325</v>
      </c>
      <c r="E39" s="163" t="s">
        <v>326</v>
      </c>
      <c r="F39" s="164" t="s">
        <v>325</v>
      </c>
      <c r="G39" s="165">
        <v>109.22</v>
      </c>
      <c r="H39" s="165">
        <v>56.22</v>
      </c>
      <c r="I39" s="165">
        <v>53</v>
      </c>
      <c r="J39" s="166">
        <v>41325</v>
      </c>
      <c r="K39" s="166">
        <v>41319</v>
      </c>
      <c r="L39" s="167">
        <v>29</v>
      </c>
      <c r="M39" s="163" t="s">
        <v>327</v>
      </c>
      <c r="N39" s="168" t="s">
        <v>275</v>
      </c>
      <c r="O39" s="167">
        <v>422</v>
      </c>
      <c r="P39" s="130"/>
      <c r="Q39" s="130"/>
      <c r="R39" s="165">
        <v>53</v>
      </c>
      <c r="S39" s="130"/>
      <c r="T39" s="130"/>
      <c r="U39" s="164" t="s">
        <v>325</v>
      </c>
      <c r="V39" s="164" t="s">
        <v>325</v>
      </c>
      <c r="W39" s="130"/>
      <c r="X39" s="165">
        <v>0</v>
      </c>
    </row>
    <row r="40" spans="1:24">
      <c r="A40" s="161">
        <v>1933810131</v>
      </c>
      <c r="B40" s="162" t="s">
        <v>109</v>
      </c>
      <c r="C40" s="163" t="s">
        <v>276</v>
      </c>
      <c r="D40" s="164" t="s">
        <v>325</v>
      </c>
      <c r="E40" s="163" t="s">
        <v>332</v>
      </c>
      <c r="F40" s="163" t="s">
        <v>277</v>
      </c>
      <c r="G40" s="165">
        <v>1289.68</v>
      </c>
      <c r="H40" s="165">
        <v>768.55</v>
      </c>
      <c r="I40" s="165">
        <v>521.13</v>
      </c>
      <c r="J40" s="166">
        <v>41325</v>
      </c>
      <c r="K40" s="166">
        <v>41319</v>
      </c>
      <c r="L40" s="167">
        <v>29</v>
      </c>
      <c r="M40" s="163" t="s">
        <v>327</v>
      </c>
      <c r="N40" s="168" t="s">
        <v>278</v>
      </c>
      <c r="O40" s="167">
        <v>732</v>
      </c>
      <c r="P40" s="167">
        <v>4.9000000000000004</v>
      </c>
      <c r="Q40" s="167">
        <v>0.21463757916959889</v>
      </c>
      <c r="R40" s="165">
        <v>120.27</v>
      </c>
      <c r="S40" s="166">
        <v>41319</v>
      </c>
      <c r="T40" s="167">
        <v>29</v>
      </c>
      <c r="U40" s="163" t="s">
        <v>327</v>
      </c>
      <c r="V40" s="163" t="s">
        <v>279</v>
      </c>
      <c r="W40" s="167">
        <v>422</v>
      </c>
      <c r="X40" s="165">
        <v>400.86</v>
      </c>
    </row>
    <row r="41" spans="1:24">
      <c r="A41" s="161">
        <v>2133819102</v>
      </c>
      <c r="B41" s="162" t="s">
        <v>109</v>
      </c>
      <c r="C41" s="163" t="s">
        <v>280</v>
      </c>
      <c r="D41" s="164" t="s">
        <v>325</v>
      </c>
      <c r="E41" s="163" t="s">
        <v>332</v>
      </c>
      <c r="F41" s="164" t="s">
        <v>325</v>
      </c>
      <c r="G41" s="165">
        <v>493.53</v>
      </c>
      <c r="H41" s="165">
        <v>229.07</v>
      </c>
      <c r="I41" s="165">
        <v>264.45999999999998</v>
      </c>
      <c r="J41" s="166">
        <v>41325</v>
      </c>
      <c r="K41" s="166">
        <v>41324</v>
      </c>
      <c r="L41" s="167">
        <v>34</v>
      </c>
      <c r="M41" s="163" t="s">
        <v>327</v>
      </c>
      <c r="N41" s="168" t="s">
        <v>281</v>
      </c>
      <c r="O41" s="167">
        <v>2662</v>
      </c>
      <c r="P41" s="167">
        <v>15</v>
      </c>
      <c r="Q41" s="167">
        <v>0.21748366013071896</v>
      </c>
      <c r="R41" s="165">
        <v>264.45999999999998</v>
      </c>
      <c r="S41" s="130"/>
      <c r="T41" s="130"/>
      <c r="U41" s="164" t="s">
        <v>325</v>
      </c>
      <c r="V41" s="164" t="s">
        <v>325</v>
      </c>
      <c r="W41" s="130"/>
      <c r="X41" s="165">
        <v>0</v>
      </c>
    </row>
    <row r="42" spans="1:24">
      <c r="A42" s="161">
        <v>2133821120</v>
      </c>
      <c r="B42" s="162" t="s">
        <v>109</v>
      </c>
      <c r="C42" s="163" t="s">
        <v>194</v>
      </c>
      <c r="D42" s="164" t="s">
        <v>325</v>
      </c>
      <c r="E42" s="163" t="s">
        <v>326</v>
      </c>
      <c r="F42" s="164" t="s">
        <v>325</v>
      </c>
      <c r="G42" s="165">
        <v>309.45</v>
      </c>
      <c r="H42" s="165">
        <v>173.41</v>
      </c>
      <c r="I42" s="165">
        <v>136.04</v>
      </c>
      <c r="J42" s="166">
        <v>41325</v>
      </c>
      <c r="K42" s="166">
        <v>41320</v>
      </c>
      <c r="L42" s="167">
        <v>25</v>
      </c>
      <c r="M42" s="163" t="s">
        <v>327</v>
      </c>
      <c r="N42" s="168" t="s">
        <v>195</v>
      </c>
      <c r="O42" s="167">
        <v>1519</v>
      </c>
      <c r="P42" s="130"/>
      <c r="Q42" s="130"/>
      <c r="R42" s="165">
        <v>136.04</v>
      </c>
      <c r="S42" s="130"/>
      <c r="T42" s="130"/>
      <c r="U42" s="164" t="s">
        <v>325</v>
      </c>
      <c r="V42" s="164" t="s">
        <v>325</v>
      </c>
      <c r="W42" s="130"/>
      <c r="X42" s="165">
        <v>0</v>
      </c>
    </row>
    <row r="43" spans="1:24">
      <c r="A43" s="161">
        <v>2137454018</v>
      </c>
      <c r="B43" s="162" t="s">
        <v>109</v>
      </c>
      <c r="C43" s="163" t="s">
        <v>196</v>
      </c>
      <c r="D43" s="164" t="s">
        <v>325</v>
      </c>
      <c r="E43" s="163" t="s">
        <v>255</v>
      </c>
      <c r="F43" s="164" t="s">
        <v>325</v>
      </c>
      <c r="G43" s="165">
        <v>43.48</v>
      </c>
      <c r="H43" s="165">
        <v>21.8</v>
      </c>
      <c r="I43" s="165">
        <v>21.68</v>
      </c>
      <c r="J43" s="166">
        <v>41325</v>
      </c>
      <c r="K43" s="166">
        <v>41319</v>
      </c>
      <c r="L43" s="167">
        <v>29</v>
      </c>
      <c r="M43" s="163" t="s">
        <v>327</v>
      </c>
      <c r="N43" s="168" t="s">
        <v>197</v>
      </c>
      <c r="O43" s="167">
        <v>4</v>
      </c>
      <c r="P43" s="130"/>
      <c r="Q43" s="130"/>
      <c r="R43" s="165">
        <v>21.68</v>
      </c>
      <c r="S43" s="130"/>
      <c r="T43" s="130"/>
      <c r="U43" s="164" t="s">
        <v>325</v>
      </c>
      <c r="V43" s="164" t="s">
        <v>325</v>
      </c>
      <c r="W43" s="130"/>
      <c r="X43" s="165">
        <v>0</v>
      </c>
    </row>
    <row r="44" spans="1:24">
      <c r="A44" s="161">
        <v>2217686007</v>
      </c>
      <c r="B44" s="162" t="s">
        <v>109</v>
      </c>
      <c r="C44" s="163" t="s">
        <v>198</v>
      </c>
      <c r="D44" s="164" t="s">
        <v>325</v>
      </c>
      <c r="E44" s="163" t="s">
        <v>255</v>
      </c>
      <c r="F44" s="164" t="s">
        <v>325</v>
      </c>
      <c r="G44" s="165">
        <v>118.17</v>
      </c>
      <c r="H44" s="165">
        <v>61.04</v>
      </c>
      <c r="I44" s="165">
        <v>57.13</v>
      </c>
      <c r="J44" s="166">
        <v>41325</v>
      </c>
      <c r="K44" s="166">
        <v>41319</v>
      </c>
      <c r="L44" s="167">
        <v>29</v>
      </c>
      <c r="M44" s="163" t="s">
        <v>327</v>
      </c>
      <c r="N44" s="168" t="s">
        <v>199</v>
      </c>
      <c r="O44" s="167">
        <v>221</v>
      </c>
      <c r="P44" s="130"/>
      <c r="Q44" s="130"/>
      <c r="R44" s="165">
        <v>57.13</v>
      </c>
      <c r="S44" s="130"/>
      <c r="T44" s="130"/>
      <c r="U44" s="164" t="s">
        <v>325</v>
      </c>
      <c r="V44" s="164" t="s">
        <v>325</v>
      </c>
      <c r="W44" s="130"/>
      <c r="X44" s="165">
        <v>0</v>
      </c>
    </row>
    <row r="45" spans="1:24">
      <c r="A45" s="161">
        <v>2480127108</v>
      </c>
      <c r="B45" s="162" t="s">
        <v>109</v>
      </c>
      <c r="C45" s="163" t="s">
        <v>200</v>
      </c>
      <c r="D45" s="164" t="s">
        <v>325</v>
      </c>
      <c r="E45" s="163" t="s">
        <v>201</v>
      </c>
      <c r="F45" s="164" t="s">
        <v>325</v>
      </c>
      <c r="G45" s="165">
        <v>87.28</v>
      </c>
      <c r="H45" s="165">
        <v>43.45</v>
      </c>
      <c r="I45" s="165">
        <v>43.83</v>
      </c>
      <c r="J45" s="166">
        <v>41305</v>
      </c>
      <c r="K45" s="166">
        <v>41305</v>
      </c>
      <c r="L45" s="167">
        <v>29</v>
      </c>
      <c r="M45" s="163" t="s">
        <v>327</v>
      </c>
      <c r="N45" s="169" t="s">
        <v>325</v>
      </c>
      <c r="O45" s="167">
        <v>332</v>
      </c>
      <c r="P45" s="130"/>
      <c r="Q45" s="130"/>
      <c r="R45" s="165">
        <v>43.83</v>
      </c>
      <c r="S45" s="130"/>
      <c r="T45" s="130"/>
      <c r="U45" s="164" t="s">
        <v>325</v>
      </c>
      <c r="V45" s="164" t="s">
        <v>325</v>
      </c>
      <c r="W45" s="130"/>
      <c r="X45" s="165">
        <v>0</v>
      </c>
    </row>
    <row r="46" spans="1:24">
      <c r="A46" s="161">
        <v>2533809113</v>
      </c>
      <c r="B46" s="162" t="s">
        <v>109</v>
      </c>
      <c r="C46" s="163" t="s">
        <v>202</v>
      </c>
      <c r="D46" s="164" t="s">
        <v>325</v>
      </c>
      <c r="E46" s="163" t="s">
        <v>326</v>
      </c>
      <c r="F46" s="163" t="s">
        <v>277</v>
      </c>
      <c r="G46" s="165">
        <v>286.20999999999998</v>
      </c>
      <c r="H46" s="165">
        <v>159.53</v>
      </c>
      <c r="I46" s="165">
        <v>126.68</v>
      </c>
      <c r="J46" s="166">
        <v>41325</v>
      </c>
      <c r="K46" s="166">
        <v>41320</v>
      </c>
      <c r="L46" s="167">
        <v>25</v>
      </c>
      <c r="M46" s="163" t="s">
        <v>327</v>
      </c>
      <c r="N46" s="168" t="s">
        <v>203</v>
      </c>
      <c r="O46" s="167">
        <v>1067</v>
      </c>
      <c r="P46" s="130"/>
      <c r="Q46" s="130"/>
      <c r="R46" s="165">
        <v>101.8</v>
      </c>
      <c r="S46" s="166">
        <v>41319</v>
      </c>
      <c r="T46" s="167">
        <v>28</v>
      </c>
      <c r="U46" s="163" t="s">
        <v>327</v>
      </c>
      <c r="V46" s="163" t="s">
        <v>204</v>
      </c>
      <c r="W46" s="167">
        <v>2</v>
      </c>
      <c r="X46" s="165">
        <v>24.88</v>
      </c>
    </row>
    <row r="47" spans="1:24">
      <c r="A47" s="161">
        <v>2693810107</v>
      </c>
      <c r="B47" s="162" t="s">
        <v>109</v>
      </c>
      <c r="C47" s="163" t="s">
        <v>205</v>
      </c>
      <c r="D47" s="164" t="s">
        <v>325</v>
      </c>
      <c r="E47" s="163" t="s">
        <v>332</v>
      </c>
      <c r="F47" s="164" t="s">
        <v>325</v>
      </c>
      <c r="G47" s="165">
        <v>1376.37</v>
      </c>
      <c r="H47" s="165">
        <v>666.09</v>
      </c>
      <c r="I47" s="165">
        <v>710.28</v>
      </c>
      <c r="J47" s="166">
        <v>41325</v>
      </c>
      <c r="K47" s="166">
        <v>41319</v>
      </c>
      <c r="L47" s="167">
        <v>29</v>
      </c>
      <c r="M47" s="163" t="s">
        <v>327</v>
      </c>
      <c r="N47" s="168" t="s">
        <v>206</v>
      </c>
      <c r="O47" s="167">
        <v>13560</v>
      </c>
      <c r="P47" s="167">
        <v>42</v>
      </c>
      <c r="Q47" s="167">
        <v>0.46387520525451564</v>
      </c>
      <c r="R47" s="165">
        <v>710.28</v>
      </c>
      <c r="S47" s="130"/>
      <c r="T47" s="130"/>
      <c r="U47" s="164" t="s">
        <v>325</v>
      </c>
      <c r="V47" s="164" t="s">
        <v>325</v>
      </c>
      <c r="W47" s="130"/>
      <c r="X47" s="165">
        <v>0</v>
      </c>
    </row>
    <row r="48" spans="1:24">
      <c r="A48" s="161">
        <v>2703112003</v>
      </c>
      <c r="B48" s="162" t="s">
        <v>109</v>
      </c>
      <c r="C48" s="163" t="s">
        <v>207</v>
      </c>
      <c r="D48" s="164" t="s">
        <v>325</v>
      </c>
      <c r="E48" s="163" t="s">
        <v>332</v>
      </c>
      <c r="F48" s="164" t="s">
        <v>325</v>
      </c>
      <c r="G48" s="165">
        <v>187.99</v>
      </c>
      <c r="H48" s="165">
        <v>85.54</v>
      </c>
      <c r="I48" s="165">
        <v>102.45</v>
      </c>
      <c r="J48" s="166">
        <v>41317</v>
      </c>
      <c r="K48" s="166">
        <v>41312</v>
      </c>
      <c r="L48" s="167">
        <v>29</v>
      </c>
      <c r="M48" s="163" t="s">
        <v>327</v>
      </c>
      <c r="N48" s="168" t="s">
        <v>208</v>
      </c>
      <c r="O48" s="167">
        <v>906</v>
      </c>
      <c r="P48" s="167">
        <v>3.3</v>
      </c>
      <c r="Q48" s="167">
        <v>0.39446185997910138</v>
      </c>
      <c r="R48" s="165">
        <v>102.45</v>
      </c>
      <c r="S48" s="130"/>
      <c r="T48" s="130"/>
      <c r="U48" s="164" t="s">
        <v>325</v>
      </c>
      <c r="V48" s="164" t="s">
        <v>325</v>
      </c>
      <c r="W48" s="130"/>
      <c r="X48" s="165">
        <v>0</v>
      </c>
    </row>
    <row r="49" spans="1:24">
      <c r="A49" s="161">
        <v>2773821106</v>
      </c>
      <c r="B49" s="162" t="s">
        <v>109</v>
      </c>
      <c r="C49" s="163" t="s">
        <v>209</v>
      </c>
      <c r="D49" s="164" t="s">
        <v>325</v>
      </c>
      <c r="E49" s="163" t="s">
        <v>255</v>
      </c>
      <c r="F49" s="164" t="s">
        <v>325</v>
      </c>
      <c r="G49" s="165">
        <v>42.04</v>
      </c>
      <c r="H49" s="165">
        <v>21.02</v>
      </c>
      <c r="I49" s="165">
        <v>21.02</v>
      </c>
      <c r="J49" s="166">
        <v>41325</v>
      </c>
      <c r="K49" s="166">
        <v>41319</v>
      </c>
      <c r="L49" s="167">
        <v>29</v>
      </c>
      <c r="M49" s="163" t="s">
        <v>327</v>
      </c>
      <c r="N49" s="168" t="s">
        <v>210</v>
      </c>
      <c r="O49" s="167">
        <v>0</v>
      </c>
      <c r="P49" s="130"/>
      <c r="Q49" s="130"/>
      <c r="R49" s="165">
        <v>21.02</v>
      </c>
      <c r="S49" s="130"/>
      <c r="T49" s="130"/>
      <c r="U49" s="164" t="s">
        <v>325</v>
      </c>
      <c r="V49" s="164" t="s">
        <v>325</v>
      </c>
      <c r="W49" s="130"/>
      <c r="X49" s="165">
        <v>0</v>
      </c>
    </row>
    <row r="50" spans="1:24">
      <c r="A50" s="161">
        <v>2856106004</v>
      </c>
      <c r="B50" s="162" t="s">
        <v>109</v>
      </c>
      <c r="C50" s="163" t="s">
        <v>211</v>
      </c>
      <c r="D50" s="164" t="s">
        <v>325</v>
      </c>
      <c r="E50" s="164" t="s">
        <v>325</v>
      </c>
      <c r="F50" s="163" t="s">
        <v>335</v>
      </c>
      <c r="G50" s="165">
        <v>62.7</v>
      </c>
      <c r="H50" s="165">
        <v>29.5</v>
      </c>
      <c r="I50" s="165">
        <v>33.200000000000003</v>
      </c>
      <c r="J50" s="166">
        <v>41317</v>
      </c>
      <c r="K50" s="130"/>
      <c r="L50" s="130"/>
      <c r="M50" s="164" t="s">
        <v>325</v>
      </c>
      <c r="N50" s="169" t="s">
        <v>325</v>
      </c>
      <c r="O50" s="130"/>
      <c r="P50" s="130"/>
      <c r="Q50" s="130"/>
      <c r="R50" s="165">
        <v>0</v>
      </c>
      <c r="S50" s="166">
        <v>41312</v>
      </c>
      <c r="T50" s="167">
        <v>27</v>
      </c>
      <c r="U50" s="163" t="s">
        <v>327</v>
      </c>
      <c r="V50" s="163" t="s">
        <v>212</v>
      </c>
      <c r="W50" s="167">
        <v>27</v>
      </c>
      <c r="X50" s="165">
        <v>33.200000000000003</v>
      </c>
    </row>
    <row r="51" spans="1:24">
      <c r="A51" s="161">
        <v>2860127100</v>
      </c>
      <c r="B51" s="162" t="s">
        <v>109</v>
      </c>
      <c r="C51" s="163" t="s">
        <v>213</v>
      </c>
      <c r="D51" s="164" t="s">
        <v>325</v>
      </c>
      <c r="E51" s="163" t="s">
        <v>201</v>
      </c>
      <c r="F51" s="164" t="s">
        <v>325</v>
      </c>
      <c r="G51" s="165">
        <v>107.17</v>
      </c>
      <c r="H51" s="165">
        <v>53.41</v>
      </c>
      <c r="I51" s="165">
        <v>53.76</v>
      </c>
      <c r="J51" s="166">
        <v>41305</v>
      </c>
      <c r="K51" s="166">
        <v>41305</v>
      </c>
      <c r="L51" s="167">
        <v>29</v>
      </c>
      <c r="M51" s="163" t="s">
        <v>327</v>
      </c>
      <c r="N51" s="169" t="s">
        <v>325</v>
      </c>
      <c r="O51" s="167">
        <v>312</v>
      </c>
      <c r="P51" s="130"/>
      <c r="Q51" s="130"/>
      <c r="R51" s="165">
        <v>53.76</v>
      </c>
      <c r="S51" s="130"/>
      <c r="T51" s="130"/>
      <c r="U51" s="164" t="s">
        <v>325</v>
      </c>
      <c r="V51" s="164" t="s">
        <v>325</v>
      </c>
      <c r="W51" s="130"/>
      <c r="X51" s="165">
        <v>0</v>
      </c>
    </row>
    <row r="52" spans="1:24">
      <c r="A52" s="161">
        <v>3040127109</v>
      </c>
      <c r="B52" s="162" t="s">
        <v>109</v>
      </c>
      <c r="C52" s="163" t="s">
        <v>214</v>
      </c>
      <c r="D52" s="164" t="s">
        <v>325</v>
      </c>
      <c r="E52" s="163" t="s">
        <v>201</v>
      </c>
      <c r="F52" s="164" t="s">
        <v>325</v>
      </c>
      <c r="G52" s="165">
        <v>110.77</v>
      </c>
      <c r="H52" s="165">
        <v>55.19</v>
      </c>
      <c r="I52" s="165">
        <v>55.58</v>
      </c>
      <c r="J52" s="166">
        <v>41305</v>
      </c>
      <c r="K52" s="166">
        <v>41305</v>
      </c>
      <c r="L52" s="167">
        <v>29</v>
      </c>
      <c r="M52" s="163" t="s">
        <v>327</v>
      </c>
      <c r="N52" s="169" t="s">
        <v>325</v>
      </c>
      <c r="O52" s="167">
        <v>326</v>
      </c>
      <c r="P52" s="130"/>
      <c r="Q52" s="130"/>
      <c r="R52" s="165">
        <v>55.58</v>
      </c>
      <c r="S52" s="130"/>
      <c r="T52" s="130"/>
      <c r="U52" s="164" t="s">
        <v>325</v>
      </c>
      <c r="V52" s="164" t="s">
        <v>325</v>
      </c>
      <c r="W52" s="130"/>
      <c r="X52" s="165">
        <v>0</v>
      </c>
    </row>
    <row r="53" spans="1:24">
      <c r="A53" s="161">
        <v>3128810107</v>
      </c>
      <c r="B53" s="162" t="s">
        <v>109</v>
      </c>
      <c r="C53" s="163" t="s">
        <v>215</v>
      </c>
      <c r="D53" s="164" t="s">
        <v>325</v>
      </c>
      <c r="E53" s="163" t="s">
        <v>326</v>
      </c>
      <c r="F53" s="164" t="s">
        <v>325</v>
      </c>
      <c r="G53" s="165">
        <v>42.8</v>
      </c>
      <c r="H53" s="165">
        <v>21.46</v>
      </c>
      <c r="I53" s="165">
        <v>21.34</v>
      </c>
      <c r="J53" s="166">
        <v>41317</v>
      </c>
      <c r="K53" s="166">
        <v>41312</v>
      </c>
      <c r="L53" s="167">
        <v>27</v>
      </c>
      <c r="M53" s="163" t="s">
        <v>327</v>
      </c>
      <c r="N53" s="168" t="s">
        <v>216</v>
      </c>
      <c r="O53" s="167">
        <v>4</v>
      </c>
      <c r="P53" s="130"/>
      <c r="Q53" s="130"/>
      <c r="R53" s="165">
        <v>21.34</v>
      </c>
      <c r="S53" s="130"/>
      <c r="T53" s="130"/>
      <c r="U53" s="164" t="s">
        <v>325</v>
      </c>
      <c r="V53" s="164" t="s">
        <v>325</v>
      </c>
      <c r="W53" s="130"/>
      <c r="X53" s="165">
        <v>0</v>
      </c>
    </row>
    <row r="54" spans="1:24">
      <c r="A54" s="161">
        <v>3195056004</v>
      </c>
      <c r="B54" s="162" t="s">
        <v>109</v>
      </c>
      <c r="C54" s="163" t="s">
        <v>217</v>
      </c>
      <c r="D54" s="164" t="s">
        <v>325</v>
      </c>
      <c r="E54" s="163" t="s">
        <v>326</v>
      </c>
      <c r="F54" s="164" t="s">
        <v>325</v>
      </c>
      <c r="G54" s="165">
        <v>44.27</v>
      </c>
      <c r="H54" s="165">
        <v>22.2</v>
      </c>
      <c r="I54" s="165">
        <v>22.07</v>
      </c>
      <c r="J54" s="166">
        <v>41325</v>
      </c>
      <c r="K54" s="166">
        <v>41319</v>
      </c>
      <c r="L54" s="167">
        <v>29</v>
      </c>
      <c r="M54" s="163" t="s">
        <v>327</v>
      </c>
      <c r="N54" s="168" t="s">
        <v>218</v>
      </c>
      <c r="O54" s="167">
        <v>14</v>
      </c>
      <c r="P54" s="130"/>
      <c r="Q54" s="130"/>
      <c r="R54" s="165">
        <v>22.07</v>
      </c>
      <c r="S54" s="130"/>
      <c r="T54" s="130"/>
      <c r="U54" s="164" t="s">
        <v>325</v>
      </c>
      <c r="V54" s="164" t="s">
        <v>325</v>
      </c>
      <c r="W54" s="130"/>
      <c r="X54" s="165">
        <v>0</v>
      </c>
    </row>
    <row r="55" spans="1:24">
      <c r="A55" s="161">
        <v>3273812135</v>
      </c>
      <c r="B55" s="162" t="s">
        <v>109</v>
      </c>
      <c r="C55" s="163" t="s">
        <v>219</v>
      </c>
      <c r="D55" s="164" t="s">
        <v>325</v>
      </c>
      <c r="E55" s="163" t="s">
        <v>326</v>
      </c>
      <c r="F55" s="163" t="s">
        <v>277</v>
      </c>
      <c r="G55" s="165">
        <v>362.46</v>
      </c>
      <c r="H55" s="165">
        <v>205.68</v>
      </c>
      <c r="I55" s="165">
        <v>156.78</v>
      </c>
      <c r="J55" s="166">
        <v>41325</v>
      </c>
      <c r="K55" s="166">
        <v>41320</v>
      </c>
      <c r="L55" s="167">
        <v>24</v>
      </c>
      <c r="M55" s="163" t="s">
        <v>327</v>
      </c>
      <c r="N55" s="168" t="s">
        <v>220</v>
      </c>
      <c r="O55" s="167">
        <v>1520</v>
      </c>
      <c r="P55" s="130"/>
      <c r="Q55" s="130"/>
      <c r="R55" s="165">
        <v>131.9</v>
      </c>
      <c r="S55" s="166">
        <v>41319</v>
      </c>
      <c r="T55" s="167">
        <v>29</v>
      </c>
      <c r="U55" s="163" t="s">
        <v>327</v>
      </c>
      <c r="V55" s="163" t="s">
        <v>221</v>
      </c>
      <c r="W55" s="167">
        <v>2</v>
      </c>
      <c r="X55" s="165">
        <v>24.88</v>
      </c>
    </row>
    <row r="56" spans="1:24">
      <c r="A56" s="161">
        <v>3293820115</v>
      </c>
      <c r="B56" s="162" t="s">
        <v>109</v>
      </c>
      <c r="C56" s="163" t="s">
        <v>222</v>
      </c>
      <c r="D56" s="164" t="s">
        <v>325</v>
      </c>
      <c r="E56" s="164" t="s">
        <v>325</v>
      </c>
      <c r="F56" s="163" t="s">
        <v>335</v>
      </c>
      <c r="G56" s="165">
        <v>94.65</v>
      </c>
      <c r="H56" s="165">
        <v>50.64</v>
      </c>
      <c r="I56" s="165">
        <v>44.01</v>
      </c>
      <c r="J56" s="166">
        <v>41325</v>
      </c>
      <c r="K56" s="130"/>
      <c r="L56" s="130"/>
      <c r="M56" s="164" t="s">
        <v>325</v>
      </c>
      <c r="N56" s="169" t="s">
        <v>325</v>
      </c>
      <c r="O56" s="130"/>
      <c r="P56" s="130"/>
      <c r="Q56" s="130"/>
      <c r="R56" s="165">
        <v>0</v>
      </c>
      <c r="S56" s="166">
        <v>41319</v>
      </c>
      <c r="T56" s="167">
        <v>28</v>
      </c>
      <c r="U56" s="163" t="s">
        <v>327</v>
      </c>
      <c r="V56" s="163" t="s">
        <v>223</v>
      </c>
      <c r="W56" s="167">
        <v>57</v>
      </c>
      <c r="X56" s="165">
        <v>44.01</v>
      </c>
    </row>
    <row r="57" spans="1:24">
      <c r="A57" s="161">
        <v>3448808118</v>
      </c>
      <c r="B57" s="162" t="s">
        <v>109</v>
      </c>
      <c r="C57" s="163" t="s">
        <v>224</v>
      </c>
      <c r="D57" s="164" t="s">
        <v>325</v>
      </c>
      <c r="E57" s="163" t="s">
        <v>326</v>
      </c>
      <c r="F57" s="164" t="s">
        <v>325</v>
      </c>
      <c r="G57" s="165">
        <v>168.18</v>
      </c>
      <c r="H57" s="165">
        <v>84.27</v>
      </c>
      <c r="I57" s="165">
        <v>83.91</v>
      </c>
      <c r="J57" s="166">
        <v>41317</v>
      </c>
      <c r="K57" s="166">
        <v>41316</v>
      </c>
      <c r="L57" s="167">
        <v>28</v>
      </c>
      <c r="M57" s="163" t="s">
        <v>327</v>
      </c>
      <c r="N57" s="168" t="s">
        <v>225</v>
      </c>
      <c r="O57" s="167">
        <v>830</v>
      </c>
      <c r="P57" s="130"/>
      <c r="Q57" s="130"/>
      <c r="R57" s="165">
        <v>83.91</v>
      </c>
      <c r="S57" s="130"/>
      <c r="T57" s="130"/>
      <c r="U57" s="164" t="s">
        <v>325</v>
      </c>
      <c r="V57" s="164" t="s">
        <v>325</v>
      </c>
      <c r="W57" s="130"/>
      <c r="X57" s="165">
        <v>0</v>
      </c>
    </row>
    <row r="58" spans="1:24">
      <c r="A58" s="161">
        <v>3632395006</v>
      </c>
      <c r="B58" s="162" t="s">
        <v>109</v>
      </c>
      <c r="C58" s="163" t="s">
        <v>226</v>
      </c>
      <c r="D58" s="164" t="s">
        <v>325</v>
      </c>
      <c r="E58" s="163" t="s">
        <v>326</v>
      </c>
      <c r="F58" s="164" t="s">
        <v>325</v>
      </c>
      <c r="G58" s="165">
        <v>42.99</v>
      </c>
      <c r="H58" s="165">
        <v>21.37</v>
      </c>
      <c r="I58" s="165">
        <v>21.62</v>
      </c>
      <c r="J58" s="166">
        <v>41317</v>
      </c>
      <c r="K58" s="166">
        <v>41312</v>
      </c>
      <c r="L58" s="167">
        <v>27</v>
      </c>
      <c r="M58" s="163" t="s">
        <v>327</v>
      </c>
      <c r="N58" s="168" t="s">
        <v>227</v>
      </c>
      <c r="O58" s="167">
        <v>8</v>
      </c>
      <c r="P58" s="130"/>
      <c r="Q58" s="130"/>
      <c r="R58" s="165">
        <v>21.62</v>
      </c>
      <c r="S58" s="130"/>
      <c r="T58" s="130"/>
      <c r="U58" s="164" t="s">
        <v>325</v>
      </c>
      <c r="V58" s="164" t="s">
        <v>325</v>
      </c>
      <c r="W58" s="130"/>
      <c r="X58" s="165">
        <v>0</v>
      </c>
    </row>
    <row r="59" spans="1:24">
      <c r="A59" s="161">
        <v>3753663109</v>
      </c>
      <c r="B59" s="162" t="s">
        <v>109</v>
      </c>
      <c r="C59" s="163" t="s">
        <v>228</v>
      </c>
      <c r="D59" s="164" t="s">
        <v>325</v>
      </c>
      <c r="E59" s="163" t="s">
        <v>330</v>
      </c>
      <c r="F59" s="164" t="s">
        <v>325</v>
      </c>
      <c r="G59" s="165">
        <v>409.47</v>
      </c>
      <c r="H59" s="165">
        <v>205.96</v>
      </c>
      <c r="I59" s="165">
        <v>203.51</v>
      </c>
      <c r="J59" s="166">
        <v>41325</v>
      </c>
      <c r="K59" s="166">
        <v>41325</v>
      </c>
      <c r="L59" s="167">
        <v>29</v>
      </c>
      <c r="M59" s="163" t="s">
        <v>327</v>
      </c>
      <c r="N59" s="169" t="s">
        <v>325</v>
      </c>
      <c r="O59" s="167">
        <v>202</v>
      </c>
      <c r="P59" s="130"/>
      <c r="Q59" s="130"/>
      <c r="R59" s="165">
        <v>203.51</v>
      </c>
      <c r="S59" s="130"/>
      <c r="T59" s="130"/>
      <c r="U59" s="164" t="s">
        <v>325</v>
      </c>
      <c r="V59" s="164" t="s">
        <v>325</v>
      </c>
      <c r="W59" s="130"/>
      <c r="X59" s="165">
        <v>0</v>
      </c>
    </row>
    <row r="60" spans="1:24">
      <c r="A60" s="161">
        <v>3798043001</v>
      </c>
      <c r="B60" s="162" t="s">
        <v>109</v>
      </c>
      <c r="C60" s="163" t="s">
        <v>229</v>
      </c>
      <c r="D60" s="164" t="s">
        <v>325</v>
      </c>
      <c r="E60" s="163" t="s">
        <v>255</v>
      </c>
      <c r="F60" s="164" t="s">
        <v>325</v>
      </c>
      <c r="G60" s="165">
        <v>42.7</v>
      </c>
      <c r="H60" s="165">
        <v>20.27</v>
      </c>
      <c r="I60" s="165">
        <v>22.43</v>
      </c>
      <c r="J60" s="166">
        <v>41297</v>
      </c>
      <c r="K60" s="166">
        <v>41291</v>
      </c>
      <c r="L60" s="167">
        <v>31</v>
      </c>
      <c r="M60" s="163" t="s">
        <v>327</v>
      </c>
      <c r="N60" s="168" t="s">
        <v>230</v>
      </c>
      <c r="O60" s="167">
        <v>9</v>
      </c>
      <c r="P60" s="130"/>
      <c r="Q60" s="130"/>
      <c r="R60" s="165">
        <v>22.43</v>
      </c>
      <c r="S60" s="130"/>
      <c r="T60" s="130"/>
      <c r="U60" s="164" t="s">
        <v>325</v>
      </c>
      <c r="V60" s="164" t="s">
        <v>325</v>
      </c>
      <c r="W60" s="130"/>
      <c r="X60" s="165">
        <v>0</v>
      </c>
    </row>
    <row r="61" spans="1:24">
      <c r="A61" s="161">
        <v>3908811104</v>
      </c>
      <c r="B61" s="162" t="s">
        <v>109</v>
      </c>
      <c r="C61" s="163" t="s">
        <v>231</v>
      </c>
      <c r="D61" s="164" t="s">
        <v>325</v>
      </c>
      <c r="E61" s="163" t="s">
        <v>326</v>
      </c>
      <c r="F61" s="164" t="s">
        <v>325</v>
      </c>
      <c r="G61" s="165">
        <v>96.49</v>
      </c>
      <c r="H61" s="165">
        <v>51.59</v>
      </c>
      <c r="I61" s="165">
        <v>44.9</v>
      </c>
      <c r="J61" s="166">
        <v>41317</v>
      </c>
      <c r="K61" s="166">
        <v>41313</v>
      </c>
      <c r="L61" s="167">
        <v>29</v>
      </c>
      <c r="M61" s="163" t="s">
        <v>327</v>
      </c>
      <c r="N61" s="168" t="s">
        <v>232</v>
      </c>
      <c r="O61" s="167">
        <v>315</v>
      </c>
      <c r="P61" s="130"/>
      <c r="Q61" s="130"/>
      <c r="R61" s="165">
        <v>44.9</v>
      </c>
      <c r="S61" s="130"/>
      <c r="T61" s="130"/>
      <c r="U61" s="164" t="s">
        <v>325</v>
      </c>
      <c r="V61" s="164" t="s">
        <v>325</v>
      </c>
      <c r="W61" s="130"/>
      <c r="X61" s="165">
        <v>0</v>
      </c>
    </row>
    <row r="62" spans="1:24">
      <c r="A62" s="161">
        <v>4153807100</v>
      </c>
      <c r="B62" s="162" t="s">
        <v>109</v>
      </c>
      <c r="C62" s="163" t="s">
        <v>233</v>
      </c>
      <c r="D62" s="164" t="s">
        <v>325</v>
      </c>
      <c r="E62" s="163" t="s">
        <v>326</v>
      </c>
      <c r="F62" s="163" t="s">
        <v>277</v>
      </c>
      <c r="G62" s="165">
        <v>1735.47</v>
      </c>
      <c r="H62" s="165">
        <v>823.21</v>
      </c>
      <c r="I62" s="165">
        <v>912.26</v>
      </c>
      <c r="J62" s="166">
        <v>41325</v>
      </c>
      <c r="K62" s="166">
        <v>41319</v>
      </c>
      <c r="L62" s="167">
        <v>29</v>
      </c>
      <c r="M62" s="163" t="s">
        <v>327</v>
      </c>
      <c r="N62" s="168" t="s">
        <v>234</v>
      </c>
      <c r="O62" s="167">
        <v>676</v>
      </c>
      <c r="P62" s="130"/>
      <c r="Q62" s="130"/>
      <c r="R62" s="165">
        <v>72.209999999999994</v>
      </c>
      <c r="S62" s="166">
        <v>41319</v>
      </c>
      <c r="T62" s="167">
        <v>29</v>
      </c>
      <c r="U62" s="163" t="s">
        <v>327</v>
      </c>
      <c r="V62" s="163" t="s">
        <v>235</v>
      </c>
      <c r="W62" s="167">
        <v>965</v>
      </c>
      <c r="X62" s="165">
        <v>840.05</v>
      </c>
    </row>
    <row r="63" spans="1:24">
      <c r="A63" s="161">
        <v>4153820112</v>
      </c>
      <c r="B63" s="162" t="s">
        <v>109</v>
      </c>
      <c r="C63" s="163" t="s">
        <v>147</v>
      </c>
      <c r="D63" s="164" t="s">
        <v>325</v>
      </c>
      <c r="E63" s="163" t="s">
        <v>332</v>
      </c>
      <c r="F63" s="164" t="s">
        <v>325</v>
      </c>
      <c r="G63" s="165">
        <v>154.86000000000001</v>
      </c>
      <c r="H63" s="165">
        <v>69.58</v>
      </c>
      <c r="I63" s="165">
        <v>85.28</v>
      </c>
      <c r="J63" s="166">
        <v>41325</v>
      </c>
      <c r="K63" s="166">
        <v>41320</v>
      </c>
      <c r="L63" s="167">
        <v>30</v>
      </c>
      <c r="M63" s="163" t="s">
        <v>327</v>
      </c>
      <c r="N63" s="168" t="s">
        <v>148</v>
      </c>
      <c r="O63" s="167">
        <v>317</v>
      </c>
      <c r="P63" s="167">
        <v>2.4</v>
      </c>
      <c r="Q63" s="167">
        <v>0.1834490740740741</v>
      </c>
      <c r="R63" s="165">
        <v>85.28</v>
      </c>
      <c r="S63" s="130"/>
      <c r="T63" s="130"/>
      <c r="U63" s="164" t="s">
        <v>325</v>
      </c>
      <c r="V63" s="164" t="s">
        <v>325</v>
      </c>
      <c r="W63" s="130"/>
      <c r="X63" s="165">
        <v>0</v>
      </c>
    </row>
    <row r="64" spans="1:24">
      <c r="A64" s="161">
        <v>4308810115</v>
      </c>
      <c r="B64" s="162" t="s">
        <v>109</v>
      </c>
      <c r="C64" s="163" t="s">
        <v>149</v>
      </c>
      <c r="D64" s="164" t="s">
        <v>325</v>
      </c>
      <c r="E64" s="163" t="s">
        <v>332</v>
      </c>
      <c r="F64" s="164" t="s">
        <v>325</v>
      </c>
      <c r="G64" s="165">
        <v>223.1</v>
      </c>
      <c r="H64" s="165">
        <v>126.59</v>
      </c>
      <c r="I64" s="165">
        <v>96.51</v>
      </c>
      <c r="J64" s="166">
        <v>41317</v>
      </c>
      <c r="K64" s="166">
        <v>41316</v>
      </c>
      <c r="L64" s="167">
        <v>28</v>
      </c>
      <c r="M64" s="163" t="s">
        <v>327</v>
      </c>
      <c r="N64" s="168" t="s">
        <v>150</v>
      </c>
      <c r="O64" s="167">
        <v>1151</v>
      </c>
      <c r="P64" s="167">
        <v>2.6</v>
      </c>
      <c r="Q64" s="167">
        <v>0.65876831501831501</v>
      </c>
      <c r="R64" s="165">
        <v>96.51</v>
      </c>
      <c r="S64" s="130"/>
      <c r="T64" s="130"/>
      <c r="U64" s="164" t="s">
        <v>325</v>
      </c>
      <c r="V64" s="164" t="s">
        <v>325</v>
      </c>
      <c r="W64" s="130"/>
      <c r="X64" s="165">
        <v>0</v>
      </c>
    </row>
    <row r="65" spans="1:24">
      <c r="A65" s="161">
        <v>4399122004</v>
      </c>
      <c r="B65" s="162" t="s">
        <v>109</v>
      </c>
      <c r="C65" s="163" t="s">
        <v>151</v>
      </c>
      <c r="D65" s="164" t="s">
        <v>325</v>
      </c>
      <c r="E65" s="164" t="s">
        <v>325</v>
      </c>
      <c r="F65" s="163" t="s">
        <v>335</v>
      </c>
      <c r="G65" s="165">
        <v>139.88</v>
      </c>
      <c r="H65" s="165">
        <v>66.06</v>
      </c>
      <c r="I65" s="165">
        <v>73.819999999999993</v>
      </c>
      <c r="J65" s="166">
        <v>41325</v>
      </c>
      <c r="K65" s="130"/>
      <c r="L65" s="130"/>
      <c r="M65" s="164" t="s">
        <v>325</v>
      </c>
      <c r="N65" s="169" t="s">
        <v>325</v>
      </c>
      <c r="O65" s="130"/>
      <c r="P65" s="130"/>
      <c r="Q65" s="130"/>
      <c r="R65" s="165">
        <v>0</v>
      </c>
      <c r="S65" s="166">
        <v>41319</v>
      </c>
      <c r="T65" s="167">
        <v>29</v>
      </c>
      <c r="U65" s="163" t="s">
        <v>327</v>
      </c>
      <c r="V65" s="163" t="s">
        <v>152</v>
      </c>
      <c r="W65" s="167">
        <v>136</v>
      </c>
      <c r="X65" s="165">
        <v>73.819999999999993</v>
      </c>
    </row>
    <row r="66" spans="1:24">
      <c r="A66" s="161">
        <v>4513814101</v>
      </c>
      <c r="B66" s="162" t="s">
        <v>109</v>
      </c>
      <c r="C66" s="163" t="s">
        <v>153</v>
      </c>
      <c r="D66" s="164" t="s">
        <v>325</v>
      </c>
      <c r="E66" s="163" t="s">
        <v>332</v>
      </c>
      <c r="F66" s="163" t="s">
        <v>277</v>
      </c>
      <c r="G66" s="165">
        <v>985.31</v>
      </c>
      <c r="H66" s="165">
        <v>508.79</v>
      </c>
      <c r="I66" s="165">
        <v>476.52</v>
      </c>
      <c r="J66" s="166">
        <v>41325</v>
      </c>
      <c r="K66" s="166">
        <v>41320</v>
      </c>
      <c r="L66" s="167">
        <v>24</v>
      </c>
      <c r="M66" s="163" t="s">
        <v>327</v>
      </c>
      <c r="N66" s="168" t="s">
        <v>154</v>
      </c>
      <c r="O66" s="167">
        <v>2072</v>
      </c>
      <c r="P66" s="167">
        <v>8.6999999999999993</v>
      </c>
      <c r="Q66" s="167">
        <v>0.41347381864623245</v>
      </c>
      <c r="R66" s="165">
        <v>149.22999999999999</v>
      </c>
      <c r="S66" s="166">
        <v>41319</v>
      </c>
      <c r="T66" s="167">
        <v>29</v>
      </c>
      <c r="U66" s="163" t="s">
        <v>327</v>
      </c>
      <c r="V66" s="163" t="s">
        <v>155</v>
      </c>
      <c r="W66" s="167">
        <v>331</v>
      </c>
      <c r="X66" s="165">
        <v>327.29000000000002</v>
      </c>
    </row>
    <row r="67" spans="1:24">
      <c r="A67" s="161">
        <v>4533881110</v>
      </c>
      <c r="B67" s="162" t="s">
        <v>109</v>
      </c>
      <c r="C67" s="163" t="s">
        <v>156</v>
      </c>
      <c r="D67" s="163" t="s">
        <v>157</v>
      </c>
      <c r="E67" s="163" t="s">
        <v>158</v>
      </c>
      <c r="F67" s="164" t="s">
        <v>325</v>
      </c>
      <c r="G67" s="165">
        <v>52.97</v>
      </c>
      <c r="H67" s="165">
        <v>25.96</v>
      </c>
      <c r="I67" s="165">
        <v>27.01</v>
      </c>
      <c r="J67" s="166">
        <v>41325</v>
      </c>
      <c r="K67" s="166">
        <v>41325</v>
      </c>
      <c r="L67" s="167">
        <v>29</v>
      </c>
      <c r="M67" s="163" t="s">
        <v>327</v>
      </c>
      <c r="N67" s="169" t="s">
        <v>325</v>
      </c>
      <c r="O67" s="167">
        <v>159</v>
      </c>
      <c r="P67" s="130"/>
      <c r="Q67" s="130"/>
      <c r="R67" s="165">
        <v>27.01</v>
      </c>
      <c r="S67" s="130"/>
      <c r="T67" s="130"/>
      <c r="U67" s="164" t="s">
        <v>325</v>
      </c>
      <c r="V67" s="164" t="s">
        <v>325</v>
      </c>
      <c r="W67" s="130"/>
      <c r="X67" s="165">
        <v>0</v>
      </c>
    </row>
    <row r="68" spans="1:24">
      <c r="A68" s="161">
        <v>4568811105</v>
      </c>
      <c r="B68" s="162" t="s">
        <v>109</v>
      </c>
      <c r="C68" s="163" t="s">
        <v>159</v>
      </c>
      <c r="D68" s="164" t="s">
        <v>325</v>
      </c>
      <c r="E68" s="163" t="s">
        <v>326</v>
      </c>
      <c r="F68" s="164" t="s">
        <v>325</v>
      </c>
      <c r="G68" s="165">
        <v>135.99</v>
      </c>
      <c r="H68" s="165">
        <v>67.36</v>
      </c>
      <c r="I68" s="165">
        <v>68.63</v>
      </c>
      <c r="J68" s="166">
        <v>41317</v>
      </c>
      <c r="K68" s="166">
        <v>41313</v>
      </c>
      <c r="L68" s="167">
        <v>29</v>
      </c>
      <c r="M68" s="163" t="s">
        <v>327</v>
      </c>
      <c r="N68" s="168" t="s">
        <v>160</v>
      </c>
      <c r="O68" s="167">
        <v>628</v>
      </c>
      <c r="P68" s="130"/>
      <c r="Q68" s="130"/>
      <c r="R68" s="165">
        <v>68.63</v>
      </c>
      <c r="S68" s="130"/>
      <c r="T68" s="130"/>
      <c r="U68" s="164" t="s">
        <v>325</v>
      </c>
      <c r="V68" s="164" t="s">
        <v>325</v>
      </c>
      <c r="W68" s="130"/>
      <c r="X68" s="165">
        <v>0</v>
      </c>
    </row>
    <row r="69" spans="1:24" ht="15">
      <c r="A69" s="161">
        <v>4588811101</v>
      </c>
      <c r="B69" s="162" t="s">
        <v>109</v>
      </c>
      <c r="C69" s="163" t="s">
        <v>159</v>
      </c>
      <c r="D69" s="164" t="s">
        <v>325</v>
      </c>
      <c r="E69" s="163" t="s">
        <v>326</v>
      </c>
      <c r="F69" s="170" t="s">
        <v>325</v>
      </c>
      <c r="G69" s="165">
        <v>48.04</v>
      </c>
      <c r="H69" s="165">
        <v>23.98</v>
      </c>
      <c r="I69" s="165">
        <v>24.06</v>
      </c>
      <c r="J69" s="166">
        <v>41317</v>
      </c>
      <c r="K69" s="166">
        <v>41316</v>
      </c>
      <c r="L69" s="167">
        <v>28</v>
      </c>
      <c r="M69" s="163" t="s">
        <v>327</v>
      </c>
      <c r="N69" s="168" t="s">
        <v>161</v>
      </c>
      <c r="O69" s="167">
        <v>40</v>
      </c>
      <c r="P69" s="130"/>
      <c r="Q69" s="130"/>
      <c r="R69" s="165">
        <v>24.06</v>
      </c>
      <c r="S69" s="130"/>
      <c r="T69" s="130"/>
      <c r="U69" s="170" t="s">
        <v>325</v>
      </c>
      <c r="V69" s="170" t="s">
        <v>325</v>
      </c>
      <c r="W69" s="130"/>
      <c r="X69" s="165">
        <v>0</v>
      </c>
    </row>
    <row r="70" spans="1:24" ht="15">
      <c r="A70" s="161">
        <v>4794009102</v>
      </c>
      <c r="B70" s="162" t="s">
        <v>109</v>
      </c>
      <c r="C70" s="163" t="s">
        <v>162</v>
      </c>
      <c r="D70" s="170" t="s">
        <v>325</v>
      </c>
      <c r="E70" s="163" t="s">
        <v>255</v>
      </c>
      <c r="F70" s="163" t="s">
        <v>163</v>
      </c>
      <c r="G70" s="165">
        <v>743.2</v>
      </c>
      <c r="H70" s="165">
        <v>323.14</v>
      </c>
      <c r="I70" s="165">
        <v>420.06</v>
      </c>
      <c r="J70" s="166">
        <v>41297</v>
      </c>
      <c r="K70" s="166">
        <v>41291</v>
      </c>
      <c r="L70" s="167">
        <v>31</v>
      </c>
      <c r="M70" s="163" t="s">
        <v>327</v>
      </c>
      <c r="N70" s="168" t="s">
        <v>164</v>
      </c>
      <c r="O70" s="167">
        <v>2365</v>
      </c>
      <c r="P70" s="130"/>
      <c r="Q70" s="130"/>
      <c r="R70" s="165">
        <v>393.79</v>
      </c>
      <c r="S70" s="166">
        <v>41291</v>
      </c>
      <c r="T70" s="167">
        <v>31</v>
      </c>
      <c r="U70" s="163" t="s">
        <v>327</v>
      </c>
      <c r="V70" s="163" t="s">
        <v>165</v>
      </c>
      <c r="W70" s="167">
        <v>4</v>
      </c>
      <c r="X70" s="165">
        <v>26.27</v>
      </c>
    </row>
    <row r="71" spans="1:24" ht="15">
      <c r="A71" s="161">
        <v>5048811100</v>
      </c>
      <c r="B71" s="162" t="s">
        <v>109</v>
      </c>
      <c r="C71" s="163" t="s">
        <v>166</v>
      </c>
      <c r="D71" s="170" t="s">
        <v>325</v>
      </c>
      <c r="E71" s="163" t="s">
        <v>326</v>
      </c>
      <c r="F71" s="163" t="s">
        <v>325</v>
      </c>
      <c r="G71" s="165">
        <v>79.900000000000006</v>
      </c>
      <c r="H71" s="165">
        <v>41.74</v>
      </c>
      <c r="I71" s="165">
        <v>38.159999999999997</v>
      </c>
      <c r="J71" s="166">
        <v>41317</v>
      </c>
      <c r="K71" s="166">
        <v>41312</v>
      </c>
      <c r="L71" s="167">
        <v>27</v>
      </c>
      <c r="M71" s="163" t="s">
        <v>327</v>
      </c>
      <c r="N71" s="168" t="s">
        <v>167</v>
      </c>
      <c r="O71" s="167">
        <v>226</v>
      </c>
      <c r="P71" s="130"/>
      <c r="Q71" s="130"/>
      <c r="R71" s="165">
        <v>38.159999999999997</v>
      </c>
      <c r="S71" s="130"/>
      <c r="T71" s="130"/>
      <c r="U71" s="163" t="s">
        <v>325</v>
      </c>
      <c r="V71" s="163" t="s">
        <v>325</v>
      </c>
      <c r="W71" s="130"/>
      <c r="X71" s="165">
        <v>0</v>
      </c>
    </row>
    <row r="72" spans="1:24">
      <c r="A72" s="161">
        <v>5293880104</v>
      </c>
      <c r="B72" s="162" t="s">
        <v>109</v>
      </c>
      <c r="C72" s="163" t="s">
        <v>168</v>
      </c>
      <c r="D72" s="163" t="s">
        <v>325</v>
      </c>
      <c r="E72" s="163" t="s">
        <v>330</v>
      </c>
      <c r="F72" s="163" t="s">
        <v>325</v>
      </c>
      <c r="G72" s="165">
        <v>21638.87</v>
      </c>
      <c r="H72" s="165">
        <v>10928.03</v>
      </c>
      <c r="I72" s="165">
        <v>10710.84</v>
      </c>
      <c r="J72" s="166">
        <v>41325</v>
      </c>
      <c r="K72" s="166">
        <v>41325</v>
      </c>
      <c r="L72" s="167">
        <v>29</v>
      </c>
      <c r="M72" s="163" t="s">
        <v>327</v>
      </c>
      <c r="N72" s="168" t="s">
        <v>325</v>
      </c>
      <c r="O72" s="167">
        <v>36948</v>
      </c>
      <c r="P72" s="130"/>
      <c r="Q72" s="130"/>
      <c r="R72" s="165">
        <v>10711.13</v>
      </c>
      <c r="S72" s="130"/>
      <c r="T72" s="130"/>
      <c r="U72" s="163" t="s">
        <v>325</v>
      </c>
      <c r="V72" s="163" t="s">
        <v>325</v>
      </c>
      <c r="W72" s="130"/>
      <c r="X72" s="165">
        <v>0</v>
      </c>
    </row>
    <row r="73" spans="1:24">
      <c r="A73" s="161">
        <v>5333812119</v>
      </c>
      <c r="B73" s="162" t="s">
        <v>109</v>
      </c>
      <c r="C73" s="163" t="s">
        <v>169</v>
      </c>
      <c r="D73" s="163" t="s">
        <v>325</v>
      </c>
      <c r="E73" s="163" t="s">
        <v>326</v>
      </c>
      <c r="F73" s="163" t="s">
        <v>325</v>
      </c>
      <c r="G73" s="165">
        <v>97.34</v>
      </c>
      <c r="H73" s="165">
        <v>46.4</v>
      </c>
      <c r="I73" s="165">
        <v>50.94</v>
      </c>
      <c r="J73" s="166">
        <v>41325</v>
      </c>
      <c r="K73" s="166">
        <v>41319</v>
      </c>
      <c r="L73" s="167">
        <v>29</v>
      </c>
      <c r="M73" s="163" t="s">
        <v>327</v>
      </c>
      <c r="N73" s="168" t="s">
        <v>170</v>
      </c>
      <c r="O73" s="167">
        <v>395</v>
      </c>
      <c r="P73" s="130"/>
      <c r="Q73" s="130"/>
      <c r="R73" s="165">
        <v>50.94</v>
      </c>
      <c r="S73" s="130"/>
      <c r="T73" s="130"/>
      <c r="U73" s="163" t="s">
        <v>325</v>
      </c>
      <c r="V73" s="163" t="s">
        <v>325</v>
      </c>
      <c r="W73" s="130"/>
      <c r="X73" s="165">
        <v>0</v>
      </c>
    </row>
    <row r="74" spans="1:24">
      <c r="A74" s="161">
        <v>5513812108</v>
      </c>
      <c r="B74" s="162" t="s">
        <v>109</v>
      </c>
      <c r="C74" s="163" t="s">
        <v>337</v>
      </c>
      <c r="D74" s="163" t="s">
        <v>325</v>
      </c>
      <c r="E74" s="163" t="s">
        <v>332</v>
      </c>
      <c r="F74" s="163" t="s">
        <v>325</v>
      </c>
      <c r="G74" s="165">
        <v>416.01</v>
      </c>
      <c r="H74" s="165">
        <v>188.78</v>
      </c>
      <c r="I74" s="165">
        <v>227.23</v>
      </c>
      <c r="J74" s="166">
        <v>41325</v>
      </c>
      <c r="K74" s="166">
        <v>41324</v>
      </c>
      <c r="L74" s="167">
        <v>34</v>
      </c>
      <c r="M74" s="163" t="s">
        <v>327</v>
      </c>
      <c r="N74" s="168" t="s">
        <v>171</v>
      </c>
      <c r="O74" s="167">
        <v>3082</v>
      </c>
      <c r="P74" s="167">
        <v>11.6</v>
      </c>
      <c r="Q74" s="167">
        <v>0.32560006761325222</v>
      </c>
      <c r="R74" s="165">
        <v>227.23</v>
      </c>
      <c r="S74" s="130"/>
      <c r="T74" s="130"/>
      <c r="U74" s="163" t="s">
        <v>325</v>
      </c>
      <c r="V74" s="163" t="s">
        <v>325</v>
      </c>
      <c r="W74" s="130"/>
      <c r="X74" s="165">
        <v>0</v>
      </c>
    </row>
    <row r="75" spans="1:24">
      <c r="A75" s="161">
        <v>5613808124</v>
      </c>
      <c r="B75" s="162" t="s">
        <v>109</v>
      </c>
      <c r="C75" s="163" t="s">
        <v>172</v>
      </c>
      <c r="D75" s="163" t="s">
        <v>325</v>
      </c>
      <c r="E75" s="163" t="s">
        <v>255</v>
      </c>
      <c r="F75" s="163" t="s">
        <v>325</v>
      </c>
      <c r="G75" s="165">
        <v>37.840000000000003</v>
      </c>
      <c r="H75" s="165">
        <v>21.02</v>
      </c>
      <c r="I75" s="165">
        <v>16.82</v>
      </c>
      <c r="J75" s="166">
        <v>41325</v>
      </c>
      <c r="K75" s="166">
        <v>41320</v>
      </c>
      <c r="L75" s="167">
        <v>24</v>
      </c>
      <c r="M75" s="163" t="s">
        <v>327</v>
      </c>
      <c r="N75" s="168" t="s">
        <v>173</v>
      </c>
      <c r="O75" s="167">
        <v>0</v>
      </c>
      <c r="P75" s="130"/>
      <c r="Q75" s="130"/>
      <c r="R75" s="165">
        <v>16.82</v>
      </c>
      <c r="S75" s="130"/>
      <c r="T75" s="130"/>
      <c r="U75" s="163" t="s">
        <v>325</v>
      </c>
      <c r="V75" s="163" t="s">
        <v>325</v>
      </c>
      <c r="W75" s="130"/>
      <c r="X75" s="165">
        <v>0</v>
      </c>
    </row>
    <row r="76" spans="1:24">
      <c r="A76" s="161">
        <v>5668811108</v>
      </c>
      <c r="B76" s="162" t="s">
        <v>109</v>
      </c>
      <c r="C76" s="163" t="s">
        <v>159</v>
      </c>
      <c r="D76" s="163" t="s">
        <v>325</v>
      </c>
      <c r="E76" s="163" t="s">
        <v>255</v>
      </c>
      <c r="F76" s="163" t="s">
        <v>325</v>
      </c>
      <c r="G76" s="165">
        <v>65.680000000000007</v>
      </c>
      <c r="H76" s="165">
        <v>33.299999999999997</v>
      </c>
      <c r="I76" s="165">
        <v>32.380000000000003</v>
      </c>
      <c r="J76" s="166">
        <v>41317</v>
      </c>
      <c r="K76" s="166">
        <v>41313</v>
      </c>
      <c r="L76" s="167">
        <v>29</v>
      </c>
      <c r="M76" s="163" t="s">
        <v>327</v>
      </c>
      <c r="N76" s="168" t="s">
        <v>174</v>
      </c>
      <c r="O76" s="167">
        <v>71</v>
      </c>
      <c r="P76" s="130"/>
      <c r="Q76" s="130"/>
      <c r="R76" s="165">
        <v>32.380000000000003</v>
      </c>
      <c r="S76" s="130"/>
      <c r="T76" s="130"/>
      <c r="U76" s="163" t="s">
        <v>325</v>
      </c>
      <c r="V76" s="163" t="s">
        <v>325</v>
      </c>
      <c r="W76" s="130"/>
      <c r="X76" s="165">
        <v>0</v>
      </c>
    </row>
    <row r="77" spans="1:24">
      <c r="A77" s="161">
        <v>5748811104</v>
      </c>
      <c r="B77" s="162" t="s">
        <v>109</v>
      </c>
      <c r="C77" s="163" t="s">
        <v>175</v>
      </c>
      <c r="D77" s="163" t="s">
        <v>325</v>
      </c>
      <c r="E77" s="163" t="s">
        <v>326</v>
      </c>
      <c r="F77" s="164" t="s">
        <v>325</v>
      </c>
      <c r="G77" s="165">
        <v>43.95</v>
      </c>
      <c r="H77" s="165">
        <v>21.96</v>
      </c>
      <c r="I77" s="165">
        <v>21.99</v>
      </c>
      <c r="J77" s="166">
        <v>41317</v>
      </c>
      <c r="K77" s="166">
        <v>41312</v>
      </c>
      <c r="L77" s="167">
        <v>28</v>
      </c>
      <c r="M77" s="163" t="s">
        <v>327</v>
      </c>
      <c r="N77" s="168" t="s">
        <v>176</v>
      </c>
      <c r="O77" s="167">
        <v>13</v>
      </c>
      <c r="P77" s="130"/>
      <c r="Q77" s="130"/>
      <c r="R77" s="165">
        <v>21.99</v>
      </c>
      <c r="S77" s="130"/>
      <c r="T77" s="130"/>
      <c r="U77" s="164" t="s">
        <v>325</v>
      </c>
      <c r="V77" s="164" t="s">
        <v>325</v>
      </c>
      <c r="W77" s="130"/>
      <c r="X77" s="165">
        <v>0</v>
      </c>
    </row>
    <row r="78" spans="1:24">
      <c r="A78" s="161">
        <v>5828811100</v>
      </c>
      <c r="B78" s="162" t="s">
        <v>109</v>
      </c>
      <c r="C78" s="163" t="s">
        <v>175</v>
      </c>
      <c r="D78" s="164" t="s">
        <v>325</v>
      </c>
      <c r="E78" s="163" t="s">
        <v>326</v>
      </c>
      <c r="F78" s="164" t="s">
        <v>325</v>
      </c>
      <c r="G78" s="165">
        <v>43.47</v>
      </c>
      <c r="H78" s="165">
        <v>21.76</v>
      </c>
      <c r="I78" s="165">
        <v>21.71</v>
      </c>
      <c r="J78" s="166">
        <v>41317</v>
      </c>
      <c r="K78" s="166">
        <v>41313</v>
      </c>
      <c r="L78" s="167">
        <v>29</v>
      </c>
      <c r="M78" s="163" t="s">
        <v>327</v>
      </c>
      <c r="N78" s="168" t="s">
        <v>177</v>
      </c>
      <c r="O78" s="167">
        <v>9</v>
      </c>
      <c r="P78" s="130"/>
      <c r="Q78" s="130"/>
      <c r="R78" s="165">
        <v>21.71</v>
      </c>
      <c r="S78" s="130"/>
      <c r="T78" s="130"/>
      <c r="U78" s="164" t="s">
        <v>325</v>
      </c>
      <c r="V78" s="164" t="s">
        <v>325</v>
      </c>
      <c r="W78" s="130"/>
      <c r="X78" s="165">
        <v>0</v>
      </c>
    </row>
    <row r="79" spans="1:24">
      <c r="A79" s="161">
        <v>5913814119</v>
      </c>
      <c r="B79" s="162" t="s">
        <v>109</v>
      </c>
      <c r="C79" s="163" t="s">
        <v>178</v>
      </c>
      <c r="D79" s="164" t="s">
        <v>325</v>
      </c>
      <c r="E79" s="163" t="s">
        <v>332</v>
      </c>
      <c r="F79" s="164" t="s">
        <v>325</v>
      </c>
      <c r="G79" s="165">
        <v>477.57</v>
      </c>
      <c r="H79" s="165">
        <v>189.02</v>
      </c>
      <c r="I79" s="165">
        <v>288.55</v>
      </c>
      <c r="J79" s="166">
        <v>41325</v>
      </c>
      <c r="K79" s="166">
        <v>41320</v>
      </c>
      <c r="L79" s="167">
        <v>30</v>
      </c>
      <c r="M79" s="163" t="s">
        <v>327</v>
      </c>
      <c r="N79" s="168" t="s">
        <v>179</v>
      </c>
      <c r="O79" s="167">
        <v>3440</v>
      </c>
      <c r="P79" s="167">
        <v>16.3</v>
      </c>
      <c r="Q79" s="167">
        <v>0.29311520109066119</v>
      </c>
      <c r="R79" s="165">
        <v>288.55</v>
      </c>
      <c r="S79" s="130"/>
      <c r="T79" s="130"/>
      <c r="U79" s="164" t="s">
        <v>325</v>
      </c>
      <c r="V79" s="164" t="s">
        <v>325</v>
      </c>
      <c r="W79" s="130"/>
      <c r="X79" s="165">
        <v>0</v>
      </c>
    </row>
    <row r="80" spans="1:24">
      <c r="A80" s="161">
        <v>5933814115</v>
      </c>
      <c r="B80" s="162" t="s">
        <v>109</v>
      </c>
      <c r="C80" s="163" t="s">
        <v>180</v>
      </c>
      <c r="D80" s="164" t="s">
        <v>325</v>
      </c>
      <c r="E80" s="163" t="s">
        <v>332</v>
      </c>
      <c r="F80" s="164" t="s">
        <v>325</v>
      </c>
      <c r="G80" s="165">
        <v>413.67</v>
      </c>
      <c r="H80" s="165">
        <v>206.07</v>
      </c>
      <c r="I80" s="165">
        <v>207.6</v>
      </c>
      <c r="J80" s="166">
        <v>41325</v>
      </c>
      <c r="K80" s="166">
        <v>41319</v>
      </c>
      <c r="L80" s="167">
        <v>29</v>
      </c>
      <c r="M80" s="163" t="s">
        <v>327</v>
      </c>
      <c r="N80" s="168" t="s">
        <v>181</v>
      </c>
      <c r="O80" s="167">
        <v>4823</v>
      </c>
      <c r="P80" s="167">
        <v>8.5</v>
      </c>
      <c r="Q80" s="167">
        <v>0.81524678837052067</v>
      </c>
      <c r="R80" s="165">
        <v>207.6</v>
      </c>
      <c r="S80" s="130"/>
      <c r="T80" s="130"/>
      <c r="U80" s="164" t="s">
        <v>325</v>
      </c>
      <c r="V80" s="164" t="s">
        <v>325</v>
      </c>
      <c r="W80" s="130"/>
      <c r="X80" s="165">
        <v>0</v>
      </c>
    </row>
    <row r="81" spans="1:24">
      <c r="A81" s="161">
        <v>6053820112</v>
      </c>
      <c r="B81" s="162" t="s">
        <v>109</v>
      </c>
      <c r="C81" s="163" t="s">
        <v>182</v>
      </c>
      <c r="D81" s="164" t="s">
        <v>325</v>
      </c>
      <c r="E81" s="163" t="s">
        <v>326</v>
      </c>
      <c r="F81" s="163" t="s">
        <v>325</v>
      </c>
      <c r="G81" s="165">
        <v>46.53</v>
      </c>
      <c r="H81" s="165">
        <v>23.39</v>
      </c>
      <c r="I81" s="165">
        <v>23.14</v>
      </c>
      <c r="J81" s="166">
        <v>41325</v>
      </c>
      <c r="K81" s="166">
        <v>41319</v>
      </c>
      <c r="L81" s="167">
        <v>29</v>
      </c>
      <c r="M81" s="163" t="s">
        <v>327</v>
      </c>
      <c r="N81" s="168" t="s">
        <v>183</v>
      </c>
      <c r="O81" s="167">
        <v>28</v>
      </c>
      <c r="P81" s="130"/>
      <c r="Q81" s="130"/>
      <c r="R81" s="165">
        <v>23.14</v>
      </c>
      <c r="S81" s="130"/>
      <c r="T81" s="130"/>
      <c r="U81" s="163" t="s">
        <v>325</v>
      </c>
      <c r="V81" s="163" t="s">
        <v>325</v>
      </c>
      <c r="W81" s="130"/>
      <c r="X81" s="165">
        <v>0</v>
      </c>
    </row>
    <row r="82" spans="1:24">
      <c r="A82" s="161">
        <v>6173817104</v>
      </c>
      <c r="B82" s="162" t="s">
        <v>109</v>
      </c>
      <c r="C82" s="163" t="s">
        <v>184</v>
      </c>
      <c r="D82" s="163" t="s">
        <v>325</v>
      </c>
      <c r="E82" s="163" t="s">
        <v>326</v>
      </c>
      <c r="F82" s="163" t="s">
        <v>325</v>
      </c>
      <c r="G82" s="165">
        <v>91.77</v>
      </c>
      <c r="H82" s="165">
        <v>50.45</v>
      </c>
      <c r="I82" s="165">
        <v>41.32</v>
      </c>
      <c r="J82" s="166">
        <v>41325</v>
      </c>
      <c r="K82" s="166">
        <v>41319</v>
      </c>
      <c r="L82" s="167">
        <v>29</v>
      </c>
      <c r="M82" s="163" t="s">
        <v>327</v>
      </c>
      <c r="N82" s="168" t="s">
        <v>185</v>
      </c>
      <c r="O82" s="167">
        <v>268</v>
      </c>
      <c r="P82" s="130"/>
      <c r="Q82" s="130"/>
      <c r="R82" s="165">
        <v>41.32</v>
      </c>
      <c r="S82" s="130"/>
      <c r="T82" s="130"/>
      <c r="U82" s="163" t="s">
        <v>325</v>
      </c>
      <c r="V82" s="163" t="s">
        <v>325</v>
      </c>
      <c r="W82" s="130"/>
      <c r="X82" s="165">
        <v>0</v>
      </c>
    </row>
    <row r="83" spans="1:24">
      <c r="A83" s="161">
        <v>6368810106</v>
      </c>
      <c r="B83" s="162" t="s">
        <v>109</v>
      </c>
      <c r="C83" s="163" t="s">
        <v>186</v>
      </c>
      <c r="D83" s="163" t="s">
        <v>325</v>
      </c>
      <c r="E83" s="163" t="s">
        <v>326</v>
      </c>
      <c r="F83" s="164" t="s">
        <v>325</v>
      </c>
      <c r="G83" s="165">
        <v>42.04</v>
      </c>
      <c r="H83" s="165">
        <v>21.02</v>
      </c>
      <c r="I83" s="165">
        <v>21.02</v>
      </c>
      <c r="J83" s="166">
        <v>41317</v>
      </c>
      <c r="K83" s="166">
        <v>41313</v>
      </c>
      <c r="L83" s="167">
        <v>29</v>
      </c>
      <c r="M83" s="163" t="s">
        <v>327</v>
      </c>
      <c r="N83" s="168" t="s">
        <v>187</v>
      </c>
      <c r="O83" s="167">
        <v>0</v>
      </c>
      <c r="P83" s="130"/>
      <c r="Q83" s="130"/>
      <c r="R83" s="165">
        <v>21.02</v>
      </c>
      <c r="S83" s="130"/>
      <c r="T83" s="130"/>
      <c r="U83" s="164" t="s">
        <v>325</v>
      </c>
      <c r="V83" s="164" t="s">
        <v>325</v>
      </c>
      <c r="W83" s="130"/>
      <c r="X83" s="165">
        <v>0</v>
      </c>
    </row>
    <row r="84" spans="1:24">
      <c r="A84" s="161">
        <v>6853819124</v>
      </c>
      <c r="B84" s="162" t="s">
        <v>109</v>
      </c>
      <c r="C84" s="163" t="s">
        <v>188</v>
      </c>
      <c r="D84" s="164" t="s">
        <v>325</v>
      </c>
      <c r="E84" s="163" t="s">
        <v>255</v>
      </c>
      <c r="F84" s="164" t="s">
        <v>325</v>
      </c>
      <c r="G84" s="165">
        <v>59.82</v>
      </c>
      <c r="H84" s="165">
        <v>30.48</v>
      </c>
      <c r="I84" s="165">
        <v>29.34</v>
      </c>
      <c r="J84" s="166">
        <v>41325</v>
      </c>
      <c r="K84" s="166">
        <v>41319</v>
      </c>
      <c r="L84" s="167">
        <v>29</v>
      </c>
      <c r="M84" s="163" t="s">
        <v>327</v>
      </c>
      <c r="N84" s="168" t="s">
        <v>189</v>
      </c>
      <c r="O84" s="167">
        <v>52</v>
      </c>
      <c r="P84" s="130"/>
      <c r="Q84" s="130"/>
      <c r="R84" s="165">
        <v>29.34</v>
      </c>
      <c r="S84" s="130"/>
      <c r="T84" s="130"/>
      <c r="U84" s="164" t="s">
        <v>325</v>
      </c>
      <c r="V84" s="164" t="s">
        <v>325</v>
      </c>
      <c r="W84" s="130"/>
      <c r="X84" s="165">
        <v>0</v>
      </c>
    </row>
    <row r="85" spans="1:24">
      <c r="A85" s="161">
        <v>6857311003</v>
      </c>
      <c r="B85" s="162" t="s">
        <v>109</v>
      </c>
      <c r="C85" s="163" t="s">
        <v>190</v>
      </c>
      <c r="D85" s="164" t="s">
        <v>325</v>
      </c>
      <c r="E85" s="163" t="s">
        <v>255</v>
      </c>
      <c r="F85" s="164" t="s">
        <v>325</v>
      </c>
      <c r="G85" s="165">
        <v>44.23</v>
      </c>
      <c r="H85" s="165">
        <v>22.11</v>
      </c>
      <c r="I85" s="165">
        <v>22.12</v>
      </c>
      <c r="J85" s="166">
        <v>41325</v>
      </c>
      <c r="K85" s="166">
        <v>41319</v>
      </c>
      <c r="L85" s="167">
        <v>29</v>
      </c>
      <c r="M85" s="163" t="s">
        <v>327</v>
      </c>
      <c r="N85" s="168" t="s">
        <v>191</v>
      </c>
      <c r="O85" s="167">
        <v>4</v>
      </c>
      <c r="P85" s="130"/>
      <c r="Q85" s="130"/>
      <c r="R85" s="165">
        <v>22.12</v>
      </c>
      <c r="S85" s="130"/>
      <c r="T85" s="130"/>
      <c r="U85" s="164" t="s">
        <v>325</v>
      </c>
      <c r="V85" s="164" t="s">
        <v>325</v>
      </c>
      <c r="W85" s="130"/>
      <c r="X85" s="165">
        <v>0</v>
      </c>
    </row>
    <row r="86" spans="1:24">
      <c r="A86" s="161">
        <v>7312015014</v>
      </c>
      <c r="B86" s="162" t="s">
        <v>109</v>
      </c>
      <c r="C86" s="163" t="s">
        <v>192</v>
      </c>
      <c r="D86" s="164" t="s">
        <v>325</v>
      </c>
      <c r="E86" s="163" t="s">
        <v>326</v>
      </c>
      <c r="F86" s="164" t="s">
        <v>325</v>
      </c>
      <c r="G86" s="165">
        <v>51.21</v>
      </c>
      <c r="H86" s="165">
        <v>24.19</v>
      </c>
      <c r="I86" s="165">
        <v>27.02</v>
      </c>
      <c r="J86" s="166">
        <v>41317</v>
      </c>
      <c r="K86" s="166">
        <v>41313</v>
      </c>
      <c r="L86" s="167">
        <v>29</v>
      </c>
      <c r="M86" s="163" t="s">
        <v>327</v>
      </c>
      <c r="N86" s="168" t="s">
        <v>193</v>
      </c>
      <c r="O86" s="167">
        <v>79</v>
      </c>
      <c r="P86" s="130"/>
      <c r="Q86" s="130"/>
      <c r="R86" s="165">
        <v>27.02</v>
      </c>
      <c r="S86" s="130"/>
      <c r="T86" s="130"/>
      <c r="U86" s="164" t="s">
        <v>325</v>
      </c>
      <c r="V86" s="164" t="s">
        <v>325</v>
      </c>
      <c r="W86" s="130"/>
      <c r="X86" s="165">
        <v>0</v>
      </c>
    </row>
    <row r="87" spans="1:24">
      <c r="A87" s="161">
        <v>8193819106</v>
      </c>
      <c r="B87" s="162" t="s">
        <v>109</v>
      </c>
      <c r="C87" s="163" t="s">
        <v>205</v>
      </c>
      <c r="D87" s="164" t="s">
        <v>325</v>
      </c>
      <c r="E87" s="164" t="s">
        <v>325</v>
      </c>
      <c r="F87" s="163" t="s">
        <v>335</v>
      </c>
      <c r="G87" s="165">
        <v>1499.84</v>
      </c>
      <c r="H87" s="165">
        <v>719.28</v>
      </c>
      <c r="I87" s="165">
        <v>780.56</v>
      </c>
      <c r="J87" s="166">
        <v>41325</v>
      </c>
      <c r="K87" s="130"/>
      <c r="L87" s="130"/>
      <c r="M87" s="164" t="s">
        <v>325</v>
      </c>
      <c r="N87" s="169" t="s">
        <v>325</v>
      </c>
      <c r="O87" s="130"/>
      <c r="P87" s="130"/>
      <c r="Q87" s="130"/>
      <c r="R87" s="165">
        <v>0</v>
      </c>
      <c r="S87" s="166">
        <v>41319</v>
      </c>
      <c r="T87" s="167">
        <v>29</v>
      </c>
      <c r="U87" s="163" t="s">
        <v>327</v>
      </c>
      <c r="V87" s="163" t="s">
        <v>88</v>
      </c>
      <c r="W87" s="167">
        <v>2981</v>
      </c>
      <c r="X87" s="165">
        <v>780.56</v>
      </c>
    </row>
    <row r="88" spans="1:24">
      <c r="A88" s="161">
        <v>8714009102</v>
      </c>
      <c r="B88" s="162" t="s">
        <v>109</v>
      </c>
      <c r="C88" s="163" t="s">
        <v>89</v>
      </c>
      <c r="D88" s="164" t="s">
        <v>325</v>
      </c>
      <c r="E88" s="163" t="s">
        <v>326</v>
      </c>
      <c r="F88" s="163" t="s">
        <v>163</v>
      </c>
      <c r="G88" s="165">
        <v>197.11</v>
      </c>
      <c r="H88" s="165">
        <v>91.4</v>
      </c>
      <c r="I88" s="165">
        <v>105.71</v>
      </c>
      <c r="J88" s="166">
        <v>41297</v>
      </c>
      <c r="K88" s="166">
        <v>41291</v>
      </c>
      <c r="L88" s="167">
        <v>31</v>
      </c>
      <c r="M88" s="163" t="s">
        <v>327</v>
      </c>
      <c r="N88" s="168" t="s">
        <v>90</v>
      </c>
      <c r="O88" s="167">
        <v>803</v>
      </c>
      <c r="P88" s="130"/>
      <c r="Q88" s="130"/>
      <c r="R88" s="165">
        <v>80.33</v>
      </c>
      <c r="S88" s="166">
        <v>41291</v>
      </c>
      <c r="T88" s="167">
        <v>31</v>
      </c>
      <c r="U88" s="163" t="s">
        <v>327</v>
      </c>
      <c r="V88" s="163" t="s">
        <v>91</v>
      </c>
      <c r="W88" s="167">
        <v>3</v>
      </c>
      <c r="X88" s="165">
        <v>25.38</v>
      </c>
    </row>
    <row r="89" spans="1:24">
      <c r="A89" s="161">
        <v>8993882105</v>
      </c>
      <c r="B89" s="162" t="s">
        <v>109</v>
      </c>
      <c r="C89" s="163" t="s">
        <v>92</v>
      </c>
      <c r="D89" s="164" t="s">
        <v>325</v>
      </c>
      <c r="E89" s="163" t="s">
        <v>330</v>
      </c>
      <c r="F89" s="164" t="s">
        <v>325</v>
      </c>
      <c r="G89" s="165">
        <v>195.14</v>
      </c>
      <c r="H89" s="165">
        <v>98.13</v>
      </c>
      <c r="I89" s="165">
        <v>97.01</v>
      </c>
      <c r="J89" s="166">
        <v>41325</v>
      </c>
      <c r="K89" s="166">
        <v>41325</v>
      </c>
      <c r="L89" s="167">
        <v>29</v>
      </c>
      <c r="M89" s="163" t="s">
        <v>327</v>
      </c>
      <c r="N89" s="169" t="s">
        <v>325</v>
      </c>
      <c r="O89" s="167">
        <v>92</v>
      </c>
      <c r="P89" s="130"/>
      <c r="Q89" s="130"/>
      <c r="R89" s="165">
        <v>97.01</v>
      </c>
      <c r="S89" s="130"/>
      <c r="T89" s="130"/>
      <c r="U89" s="164" t="s">
        <v>325</v>
      </c>
      <c r="V89" s="164" t="s">
        <v>325</v>
      </c>
      <c r="W89" s="130"/>
      <c r="X89" s="165">
        <v>0</v>
      </c>
    </row>
    <row r="90" spans="1:24">
      <c r="A90" s="161">
        <v>9308810101</v>
      </c>
      <c r="B90" s="162" t="s">
        <v>109</v>
      </c>
      <c r="C90" s="163" t="s">
        <v>337</v>
      </c>
      <c r="D90" s="164" t="s">
        <v>325</v>
      </c>
      <c r="E90" s="164" t="s">
        <v>325</v>
      </c>
      <c r="F90" s="163" t="s">
        <v>335</v>
      </c>
      <c r="G90" s="165">
        <v>252.25</v>
      </c>
      <c r="H90" s="165">
        <v>117.5</v>
      </c>
      <c r="I90" s="165">
        <v>134.75</v>
      </c>
      <c r="J90" s="166">
        <v>41317</v>
      </c>
      <c r="K90" s="130"/>
      <c r="L90" s="130"/>
      <c r="M90" s="164" t="s">
        <v>325</v>
      </c>
      <c r="N90" s="169" t="s">
        <v>325</v>
      </c>
      <c r="O90" s="130"/>
      <c r="P90" s="130"/>
      <c r="Q90" s="130"/>
      <c r="R90" s="165">
        <v>0</v>
      </c>
      <c r="S90" s="166">
        <v>41313</v>
      </c>
      <c r="T90" s="167">
        <v>29</v>
      </c>
      <c r="U90" s="163" t="s">
        <v>327</v>
      </c>
      <c r="V90" s="163" t="s">
        <v>93</v>
      </c>
      <c r="W90" s="167">
        <v>301</v>
      </c>
      <c r="X90" s="165">
        <v>134.75</v>
      </c>
    </row>
    <row r="91" spans="1:24">
      <c r="A91" s="161">
        <v>9428808118</v>
      </c>
      <c r="B91" s="162" t="s">
        <v>109</v>
      </c>
      <c r="C91" s="163" t="s">
        <v>94</v>
      </c>
      <c r="D91" s="164" t="s">
        <v>325</v>
      </c>
      <c r="E91" s="163" t="s">
        <v>95</v>
      </c>
      <c r="F91" s="163" t="s">
        <v>236</v>
      </c>
      <c r="G91" s="165">
        <v>169.38</v>
      </c>
      <c r="H91" s="165">
        <v>71.930000000000007</v>
      </c>
      <c r="I91" s="165">
        <v>97.45</v>
      </c>
      <c r="J91" s="166">
        <v>41317</v>
      </c>
      <c r="K91" s="166">
        <v>41313</v>
      </c>
      <c r="L91" s="167">
        <v>29</v>
      </c>
      <c r="M91" s="163" t="s">
        <v>327</v>
      </c>
      <c r="N91" s="168" t="s">
        <v>96</v>
      </c>
      <c r="O91" s="167">
        <v>63</v>
      </c>
      <c r="P91" s="130"/>
      <c r="Q91" s="130"/>
      <c r="R91" s="165">
        <v>25.66</v>
      </c>
      <c r="S91" s="166">
        <v>41313</v>
      </c>
      <c r="T91" s="167">
        <v>29</v>
      </c>
      <c r="U91" s="163" t="s">
        <v>327</v>
      </c>
      <c r="V91" s="163" t="s">
        <v>97</v>
      </c>
      <c r="W91" s="167">
        <v>53</v>
      </c>
      <c r="X91" s="165">
        <v>71.790000000000006</v>
      </c>
    </row>
    <row r="92" spans="1:24">
      <c r="A92" s="161">
        <v>9488810107</v>
      </c>
      <c r="B92" s="162" t="s">
        <v>109</v>
      </c>
      <c r="C92" s="163" t="s">
        <v>337</v>
      </c>
      <c r="D92" s="164" t="s">
        <v>325</v>
      </c>
      <c r="E92" s="163" t="s">
        <v>332</v>
      </c>
      <c r="F92" s="164" t="s">
        <v>325</v>
      </c>
      <c r="G92" s="165">
        <v>340.03</v>
      </c>
      <c r="H92" s="165">
        <v>228.05</v>
      </c>
      <c r="I92" s="165">
        <v>111.98</v>
      </c>
      <c r="J92" s="166">
        <v>41317</v>
      </c>
      <c r="K92" s="166">
        <v>41316</v>
      </c>
      <c r="L92" s="167">
        <v>28</v>
      </c>
      <c r="M92" s="163" t="s">
        <v>327</v>
      </c>
      <c r="N92" s="168" t="s">
        <v>98</v>
      </c>
      <c r="O92" s="167">
        <v>1920</v>
      </c>
      <c r="P92" s="167">
        <v>3.2</v>
      </c>
      <c r="Q92" s="167">
        <v>0.8928571428571429</v>
      </c>
      <c r="R92" s="165">
        <v>111.98</v>
      </c>
      <c r="S92" s="130"/>
      <c r="T92" s="130"/>
      <c r="U92" s="164" t="s">
        <v>325</v>
      </c>
      <c r="V92" s="164" t="s">
        <v>325</v>
      </c>
      <c r="W92" s="130"/>
      <c r="X92" s="165">
        <v>0</v>
      </c>
    </row>
    <row r="93" spans="1:24">
      <c r="A93" s="161">
        <v>9529017113</v>
      </c>
      <c r="B93" s="162" t="s">
        <v>109</v>
      </c>
      <c r="C93" s="163" t="s">
        <v>99</v>
      </c>
      <c r="D93" s="164" t="s">
        <v>325</v>
      </c>
      <c r="E93" s="163" t="s">
        <v>326</v>
      </c>
      <c r="F93" s="164" t="s">
        <v>325</v>
      </c>
      <c r="G93" s="165">
        <v>42.04</v>
      </c>
      <c r="H93" s="165">
        <v>21.02</v>
      </c>
      <c r="I93" s="165">
        <v>21.02</v>
      </c>
      <c r="J93" s="166">
        <v>41318</v>
      </c>
      <c r="K93" s="166">
        <v>41313</v>
      </c>
      <c r="L93" s="167">
        <v>29</v>
      </c>
      <c r="M93" s="163" t="s">
        <v>327</v>
      </c>
      <c r="N93" s="168" t="s">
        <v>100</v>
      </c>
      <c r="O93" s="167">
        <v>0</v>
      </c>
      <c r="P93" s="130"/>
      <c r="Q93" s="130"/>
      <c r="R93" s="165">
        <v>21.02</v>
      </c>
      <c r="S93" s="130"/>
      <c r="T93" s="130"/>
      <c r="U93" s="164" t="s">
        <v>325</v>
      </c>
      <c r="V93" s="164" t="s">
        <v>325</v>
      </c>
      <c r="W93" s="130"/>
      <c r="X93" s="165">
        <v>0</v>
      </c>
    </row>
    <row r="94" spans="1:24">
      <c r="A94" s="161">
        <v>9753819107</v>
      </c>
      <c r="B94" s="162" t="s">
        <v>109</v>
      </c>
      <c r="C94" s="163" t="s">
        <v>101</v>
      </c>
      <c r="D94" s="164" t="s">
        <v>325</v>
      </c>
      <c r="E94" s="163" t="s">
        <v>332</v>
      </c>
      <c r="F94" s="163" t="s">
        <v>277</v>
      </c>
      <c r="G94" s="165">
        <v>2610.87</v>
      </c>
      <c r="H94" s="165">
        <v>1311.69</v>
      </c>
      <c r="I94" s="165">
        <v>1299.18</v>
      </c>
      <c r="J94" s="166">
        <v>41325</v>
      </c>
      <c r="K94" s="166">
        <v>41320</v>
      </c>
      <c r="L94" s="167">
        <v>24</v>
      </c>
      <c r="M94" s="163" t="s">
        <v>327</v>
      </c>
      <c r="N94" s="168" t="s">
        <v>102</v>
      </c>
      <c r="O94" s="167">
        <v>11760</v>
      </c>
      <c r="P94" s="167">
        <v>40</v>
      </c>
      <c r="Q94" s="167">
        <v>0.51041666666666663</v>
      </c>
      <c r="R94" s="165">
        <v>558.61</v>
      </c>
      <c r="S94" s="166">
        <v>41319</v>
      </c>
      <c r="T94" s="167">
        <v>29</v>
      </c>
      <c r="U94" s="163" t="s">
        <v>327</v>
      </c>
      <c r="V94" s="163" t="s">
        <v>103</v>
      </c>
      <c r="W94" s="167">
        <v>842</v>
      </c>
      <c r="X94" s="165">
        <v>740.57</v>
      </c>
    </row>
    <row r="95" spans="1:24">
      <c r="A95" s="161">
        <v>9753820119</v>
      </c>
      <c r="B95" s="162" t="s">
        <v>109</v>
      </c>
      <c r="C95" s="163" t="s">
        <v>104</v>
      </c>
      <c r="D95" s="164" t="s">
        <v>325</v>
      </c>
      <c r="E95" s="163" t="s">
        <v>326</v>
      </c>
      <c r="F95" s="163" t="s">
        <v>325</v>
      </c>
      <c r="G95" s="165">
        <v>46.52</v>
      </c>
      <c r="H95" s="165">
        <v>22.7</v>
      </c>
      <c r="I95" s="165">
        <v>23.82</v>
      </c>
      <c r="J95" s="166">
        <v>41325</v>
      </c>
      <c r="K95" s="166">
        <v>41319</v>
      </c>
      <c r="L95" s="167">
        <v>28</v>
      </c>
      <c r="M95" s="163" t="s">
        <v>327</v>
      </c>
      <c r="N95" s="168" t="s">
        <v>105</v>
      </c>
      <c r="O95" s="167">
        <v>37</v>
      </c>
      <c r="P95" s="130"/>
      <c r="Q95" s="130"/>
      <c r="R95" s="165">
        <v>23.82</v>
      </c>
      <c r="S95" s="130"/>
      <c r="T95" s="130"/>
      <c r="U95" s="163" t="s">
        <v>325</v>
      </c>
      <c r="V95" s="163" t="s">
        <v>325</v>
      </c>
      <c r="W95" s="130"/>
      <c r="X95" s="165">
        <v>0</v>
      </c>
    </row>
    <row r="96" spans="1:24" ht="14.5" customHeight="1">
      <c r="A96" s="171">
        <v>9953820104</v>
      </c>
      <c r="B96" s="162" t="s">
        <v>109</v>
      </c>
      <c r="C96" s="172" t="s">
        <v>106</v>
      </c>
      <c r="D96" s="172" t="s">
        <v>325</v>
      </c>
      <c r="E96" s="172" t="s">
        <v>326</v>
      </c>
      <c r="F96" s="172" t="s">
        <v>325</v>
      </c>
      <c r="G96" s="173">
        <v>58.02</v>
      </c>
      <c r="H96" s="173">
        <v>29.88</v>
      </c>
      <c r="I96" s="173">
        <v>28.14</v>
      </c>
      <c r="J96" s="174">
        <v>41325</v>
      </c>
      <c r="K96" s="174">
        <v>41319</v>
      </c>
      <c r="L96" s="175">
        <v>29</v>
      </c>
      <c r="M96" s="172" t="s">
        <v>327</v>
      </c>
      <c r="N96" s="176" t="s">
        <v>107</v>
      </c>
      <c r="O96" s="175">
        <v>94</v>
      </c>
      <c r="P96" s="177"/>
      <c r="Q96" s="177"/>
      <c r="R96" s="173">
        <v>28.14</v>
      </c>
      <c r="S96" s="177"/>
      <c r="T96" s="177"/>
      <c r="U96" s="172" t="s">
        <v>325</v>
      </c>
      <c r="V96" s="172" t="s">
        <v>325</v>
      </c>
      <c r="W96" s="177"/>
      <c r="X96" s="173">
        <v>0</v>
      </c>
    </row>
    <row r="97" spans="1:26" ht="14.5" customHeight="1">
      <c r="A97" s="178"/>
    </row>
    <row r="98" spans="1:26">
      <c r="A98" s="181"/>
      <c r="B98" s="182"/>
      <c r="C98" s="177"/>
      <c r="D98" s="177"/>
      <c r="E98" s="177"/>
      <c r="F98" s="177"/>
      <c r="G98" s="177"/>
      <c r="H98" s="177"/>
      <c r="I98" s="183">
        <v>22336.44</v>
      </c>
      <c r="J98" s="177"/>
      <c r="K98" s="177"/>
      <c r="L98" s="177"/>
      <c r="M98" s="177"/>
      <c r="N98" s="132"/>
      <c r="O98" s="177"/>
      <c r="P98" s="177"/>
      <c r="Q98" s="177"/>
      <c r="R98" s="177"/>
      <c r="S98" s="177"/>
      <c r="T98" s="177"/>
      <c r="U98" s="177"/>
      <c r="V98" s="177"/>
      <c r="W98" s="177"/>
      <c r="X98" s="130"/>
      <c r="Y98" s="177"/>
      <c r="Z98" s="177"/>
    </row>
  </sheetData>
  <phoneticPr fontId="7" type="noConversion"/>
  <pageMargins left="0.2" right="0.2" top="0.25" bottom="0.25" header="0" footer="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4:Z98"/>
  <sheetViews>
    <sheetView topLeftCell="A6" workbookViewId="0">
      <selection sqref="A1:XFD4"/>
    </sheetView>
  </sheetViews>
  <sheetFormatPr baseColWidth="10" defaultColWidth="8.83203125" defaultRowHeight="14" x14ac:dyDescent="0"/>
  <cols>
    <col min="1" max="1" width="18.6640625" style="35" customWidth="1"/>
    <col min="2" max="2" width="22.83203125" style="35" customWidth="1"/>
    <col min="3" max="3" width="44.5" style="35" customWidth="1"/>
    <col min="4" max="4" width="9.83203125" style="35" customWidth="1"/>
    <col min="5" max="5" width="15" style="35" customWidth="1"/>
    <col min="6" max="6" width="9.83203125" style="31" hidden="1" customWidth="1"/>
    <col min="7" max="7" width="11.5" style="35" hidden="1" customWidth="1"/>
    <col min="8" max="8" width="11" style="35" hidden="1" customWidth="1"/>
    <col min="9" max="9" width="13" style="35" customWidth="1"/>
    <col min="10" max="10" width="10.5" style="125" hidden="1" customWidth="1"/>
    <col min="11" max="11" width="15.5" style="125" hidden="1" customWidth="1"/>
    <col min="12" max="12" width="7.83203125" style="217" hidden="1" customWidth="1"/>
    <col min="13" max="13" width="11.5" style="97" hidden="1" customWidth="1"/>
    <col min="14" max="14" width="14.5" style="125" hidden="1" customWidth="1"/>
    <col min="15" max="15" width="9.5" style="35" customWidth="1"/>
    <col min="16" max="16" width="7.33203125" style="35" hidden="1" customWidth="1"/>
    <col min="17" max="17" width="8.6640625" style="35" hidden="1" customWidth="1"/>
    <col min="18" max="18" width="12.6640625" style="35" customWidth="1"/>
    <col min="19" max="19" width="10.33203125" style="35" hidden="1" customWidth="1"/>
    <col min="20" max="20" width="18.33203125" style="35" hidden="1" customWidth="1"/>
    <col min="21" max="21" width="9.33203125" style="125" hidden="1" customWidth="1"/>
    <col min="22" max="22" width="11.1640625" style="97" hidden="1" customWidth="1"/>
    <col min="23" max="23" width="10.6640625" style="180" customWidth="1"/>
    <col min="24" max="24" width="11.6640625" style="35" customWidth="1"/>
    <col min="25" max="25" width="13.5" style="35" customWidth="1"/>
    <col min="26" max="26" width="20.33203125" style="35" customWidth="1"/>
    <col min="27" max="16384" width="8.83203125" style="35"/>
  </cols>
  <sheetData>
    <row r="4" spans="1:26" ht="15" thickBot="1"/>
    <row r="5" spans="1:26" ht="16.25" customHeight="1" thickBot="1">
      <c r="A5" s="185" t="s">
        <v>289</v>
      </c>
      <c r="B5" s="128"/>
      <c r="C5" s="128"/>
      <c r="D5" s="128"/>
      <c r="E5" s="129"/>
      <c r="F5" s="130"/>
      <c r="G5" s="131"/>
      <c r="H5" s="130"/>
      <c r="I5" s="130"/>
      <c r="J5" s="132"/>
      <c r="K5" s="132"/>
      <c r="L5" s="186"/>
      <c r="M5" s="187"/>
      <c r="N5" s="132"/>
      <c r="O5" s="130"/>
      <c r="P5" s="130"/>
      <c r="Q5" s="130"/>
      <c r="R5" s="131"/>
      <c r="S5" s="130"/>
      <c r="T5" s="130"/>
      <c r="U5" s="132"/>
      <c r="V5" s="187"/>
      <c r="W5" s="130"/>
      <c r="X5" s="130"/>
      <c r="Y5" s="131"/>
      <c r="Z5" s="130"/>
    </row>
    <row r="6" spans="1:26" ht="16.25" customHeight="1" thickBot="1">
      <c r="A6" s="188" t="s">
        <v>290</v>
      </c>
      <c r="B6" s="135"/>
      <c r="C6" s="135"/>
      <c r="D6" s="135"/>
      <c r="E6" s="136"/>
      <c r="F6" s="130"/>
      <c r="G6" s="131"/>
      <c r="H6" s="130"/>
      <c r="I6" s="130"/>
      <c r="J6" s="132"/>
      <c r="K6" s="132"/>
      <c r="L6" s="186"/>
      <c r="M6" s="187"/>
      <c r="N6" s="132"/>
      <c r="O6" s="130"/>
      <c r="P6" s="130"/>
      <c r="Q6" s="130"/>
      <c r="R6" s="131"/>
      <c r="S6" s="130"/>
      <c r="T6" s="130"/>
      <c r="U6" s="132"/>
      <c r="V6" s="187"/>
      <c r="W6" s="130"/>
      <c r="X6" s="130"/>
      <c r="Y6" s="131"/>
      <c r="Z6" s="130"/>
    </row>
    <row r="7" spans="1:26" ht="16.25" customHeight="1">
      <c r="A7" s="189" t="s">
        <v>291</v>
      </c>
      <c r="B7" s="139"/>
      <c r="C7" s="139"/>
      <c r="D7" s="139"/>
      <c r="E7" s="140"/>
      <c r="F7" s="130"/>
      <c r="G7" s="131"/>
      <c r="H7" s="130"/>
      <c r="I7" s="130"/>
      <c r="J7" s="132"/>
      <c r="K7" s="132"/>
      <c r="L7" s="186"/>
      <c r="M7" s="187"/>
      <c r="N7" s="132"/>
      <c r="O7" s="130"/>
      <c r="P7" s="130"/>
      <c r="Q7" s="130"/>
      <c r="R7" s="131"/>
      <c r="S7" s="130"/>
      <c r="T7" s="130"/>
      <c r="U7" s="132"/>
      <c r="V7" s="187"/>
      <c r="W7" s="130"/>
      <c r="X7" s="130"/>
      <c r="Y7" s="131"/>
      <c r="Z7" s="130"/>
    </row>
    <row r="8" spans="1:26" ht="16.25" customHeight="1" thickBot="1">
      <c r="A8" s="190" t="s">
        <v>292</v>
      </c>
      <c r="B8" s="143"/>
      <c r="C8" s="143"/>
      <c r="D8" s="143"/>
      <c r="E8" s="144"/>
      <c r="F8" s="130"/>
      <c r="G8" s="131"/>
      <c r="H8" s="130"/>
      <c r="I8" s="130"/>
      <c r="J8" s="132"/>
      <c r="K8" s="132"/>
      <c r="L8" s="186"/>
      <c r="M8" s="187"/>
      <c r="N8" s="132"/>
      <c r="O8" s="130"/>
      <c r="P8" s="130"/>
      <c r="Q8" s="130"/>
      <c r="R8" s="131"/>
      <c r="S8" s="130"/>
      <c r="T8" s="130"/>
      <c r="U8" s="132"/>
      <c r="V8" s="187"/>
      <c r="W8" s="130"/>
      <c r="X8" s="130"/>
      <c r="Y8" s="131"/>
      <c r="Z8" s="130"/>
    </row>
    <row r="9" spans="1:26" ht="16.25" customHeight="1" thickBot="1">
      <c r="A9" s="148" t="s">
        <v>293</v>
      </c>
      <c r="B9" s="129" t="s">
        <v>294</v>
      </c>
      <c r="C9" s="147">
        <v>41354</v>
      </c>
      <c r="D9" s="148" t="s">
        <v>295</v>
      </c>
      <c r="E9" s="147">
        <v>41368</v>
      </c>
      <c r="F9" s="130"/>
      <c r="G9" s="131"/>
      <c r="H9" s="130"/>
      <c r="I9" s="130"/>
      <c r="J9" s="132"/>
      <c r="K9" s="132"/>
      <c r="L9" s="186"/>
      <c r="M9" s="187"/>
      <c r="N9" s="132"/>
      <c r="O9" s="130"/>
      <c r="P9" s="130"/>
      <c r="Q9" s="130"/>
      <c r="R9" s="131"/>
      <c r="S9" s="130"/>
      <c r="T9" s="130"/>
      <c r="U9" s="132"/>
      <c r="V9" s="187"/>
      <c r="W9" s="130"/>
      <c r="X9" s="130"/>
      <c r="Y9" s="131"/>
      <c r="Z9" s="130"/>
    </row>
    <row r="10" spans="1:26" ht="16.25" customHeight="1" thickBot="1">
      <c r="A10" s="191" t="s">
        <v>296</v>
      </c>
      <c r="B10" s="192">
        <v>20846.050000000003</v>
      </c>
      <c r="C10" s="139"/>
      <c r="D10" s="139"/>
      <c r="E10" s="140"/>
      <c r="F10" s="130"/>
      <c r="G10" s="131"/>
      <c r="H10" s="130"/>
      <c r="I10" s="130"/>
      <c r="J10" s="132"/>
      <c r="K10" s="132"/>
      <c r="L10" s="186"/>
      <c r="M10" s="187"/>
      <c r="N10" s="132"/>
      <c r="O10" s="130"/>
      <c r="P10" s="130"/>
      <c r="Q10" s="130"/>
      <c r="R10" s="131"/>
      <c r="S10" s="130"/>
      <c r="T10" s="130"/>
      <c r="U10" s="132"/>
      <c r="V10" s="187"/>
      <c r="W10" s="130"/>
      <c r="X10" s="130"/>
      <c r="Y10" s="131"/>
      <c r="Z10" s="130"/>
    </row>
    <row r="11" spans="1:26" ht="16.25" customHeight="1" thickBot="1">
      <c r="A11" s="193" t="s">
        <v>297</v>
      </c>
      <c r="B11" s="194"/>
      <c r="C11" s="153">
        <v>41326</v>
      </c>
      <c r="D11" s="154" t="s">
        <v>298</v>
      </c>
      <c r="E11" s="147">
        <v>41354</v>
      </c>
      <c r="F11" s="130"/>
      <c r="G11" s="131"/>
      <c r="H11" s="130"/>
      <c r="I11" s="130"/>
      <c r="J11" s="132"/>
      <c r="K11" s="132"/>
      <c r="L11" s="186"/>
      <c r="M11" s="187"/>
      <c r="N11" s="132"/>
      <c r="O11" s="130"/>
      <c r="P11" s="130"/>
      <c r="Q11" s="130"/>
      <c r="R11" s="131"/>
      <c r="S11" s="130"/>
      <c r="T11" s="130"/>
      <c r="U11" s="132"/>
      <c r="V11" s="187"/>
      <c r="W11" s="130"/>
      <c r="X11" s="130"/>
      <c r="Y11" s="131"/>
      <c r="Z11" s="130"/>
    </row>
    <row r="12" spans="1:26" ht="16.25" customHeight="1" thickBot="1">
      <c r="A12" s="188" t="s">
        <v>299</v>
      </c>
      <c r="B12" s="128"/>
      <c r="C12" s="128"/>
      <c r="D12" s="128"/>
      <c r="E12" s="129"/>
      <c r="F12" s="130"/>
      <c r="G12" s="131"/>
      <c r="H12" s="130"/>
      <c r="I12" s="130"/>
      <c r="J12" s="132"/>
      <c r="K12" s="132"/>
      <c r="L12" s="186"/>
      <c r="M12" s="187"/>
      <c r="N12" s="132"/>
      <c r="O12" s="130"/>
      <c r="P12" s="130"/>
      <c r="Q12" s="130"/>
      <c r="R12" s="131"/>
      <c r="S12" s="130"/>
      <c r="T12" s="130"/>
      <c r="U12" s="132"/>
      <c r="V12" s="187"/>
      <c r="W12" s="130"/>
      <c r="X12" s="130"/>
      <c r="Y12" s="131"/>
      <c r="Z12" s="130"/>
    </row>
    <row r="13" spans="1:26" ht="16.25" customHeight="1" thickBot="1">
      <c r="A13" s="195">
        <v>41354</v>
      </c>
      <c r="B13" s="128"/>
      <c r="C13" s="128"/>
      <c r="D13" s="128"/>
      <c r="E13" s="129"/>
      <c r="F13" s="130"/>
      <c r="G13" s="131"/>
      <c r="H13" s="130"/>
      <c r="I13" s="130"/>
      <c r="J13" s="132"/>
      <c r="K13" s="132"/>
      <c r="L13" s="186"/>
      <c r="M13" s="187"/>
      <c r="N13" s="132"/>
      <c r="O13" s="130"/>
      <c r="P13" s="130"/>
      <c r="Q13" s="130"/>
      <c r="R13" s="131"/>
      <c r="S13" s="130"/>
      <c r="T13" s="130"/>
      <c r="U13" s="132"/>
      <c r="V13" s="187"/>
      <c r="W13" s="130"/>
      <c r="X13" s="130"/>
      <c r="Y13" s="131"/>
      <c r="Z13" s="130"/>
    </row>
    <row r="14" spans="1:26" s="200" customFormat="1" ht="27" customHeight="1">
      <c r="A14" s="60" t="s">
        <v>370</v>
      </c>
      <c r="B14" s="60" t="s">
        <v>108</v>
      </c>
      <c r="C14" s="60" t="s">
        <v>301</v>
      </c>
      <c r="D14" s="60" t="s">
        <v>302</v>
      </c>
      <c r="E14" s="60" t="s">
        <v>303</v>
      </c>
      <c r="F14" s="60" t="s">
        <v>304</v>
      </c>
      <c r="G14" s="196" t="s">
        <v>305</v>
      </c>
      <c r="H14" s="196" t="s">
        <v>306</v>
      </c>
      <c r="I14" s="196" t="s">
        <v>307</v>
      </c>
      <c r="J14" s="60" t="s">
        <v>308</v>
      </c>
      <c r="K14" s="60" t="s">
        <v>110</v>
      </c>
      <c r="L14" s="197" t="s">
        <v>310</v>
      </c>
      <c r="M14" s="198" t="s">
        <v>311</v>
      </c>
      <c r="N14" s="60" t="s">
        <v>312</v>
      </c>
      <c r="O14" s="60" t="s">
        <v>313</v>
      </c>
      <c r="P14" s="60" t="s">
        <v>314</v>
      </c>
      <c r="Q14" s="60" t="s">
        <v>315</v>
      </c>
      <c r="R14" s="196" t="s">
        <v>316</v>
      </c>
      <c r="S14" s="60" t="s">
        <v>317</v>
      </c>
      <c r="T14" s="60" t="s">
        <v>318</v>
      </c>
      <c r="U14" s="199" t="s">
        <v>319</v>
      </c>
      <c r="V14" s="60" t="s">
        <v>320</v>
      </c>
      <c r="W14" s="60" t="s">
        <v>321</v>
      </c>
      <c r="X14" s="196" t="s">
        <v>322</v>
      </c>
    </row>
    <row r="15" spans="1:26" s="31" customFormat="1" ht="20" customHeight="1">
      <c r="A15" s="161">
        <v>143027007</v>
      </c>
      <c r="B15" s="162" t="s">
        <v>109</v>
      </c>
      <c r="C15" s="163" t="s">
        <v>324</v>
      </c>
      <c r="D15" s="163" t="s">
        <v>325</v>
      </c>
      <c r="E15" s="163" t="s">
        <v>326</v>
      </c>
      <c r="F15" s="163" t="s">
        <v>325</v>
      </c>
      <c r="G15" s="165">
        <v>48.41</v>
      </c>
      <c r="H15" s="165">
        <v>23.62</v>
      </c>
      <c r="I15" s="165">
        <v>24.79</v>
      </c>
      <c r="J15" s="201">
        <v>41353</v>
      </c>
      <c r="K15" s="201">
        <v>41348</v>
      </c>
      <c r="L15" s="202">
        <v>29</v>
      </c>
      <c r="M15" s="203" t="s">
        <v>327</v>
      </c>
      <c r="N15" s="168" t="s">
        <v>328</v>
      </c>
      <c r="O15" s="167">
        <v>51</v>
      </c>
      <c r="P15" s="130"/>
      <c r="Q15" s="130"/>
      <c r="R15" s="165">
        <v>24.79</v>
      </c>
      <c r="S15" s="130"/>
      <c r="T15" s="132"/>
      <c r="U15" s="203" t="s">
        <v>325</v>
      </c>
      <c r="V15" s="163" t="s">
        <v>325</v>
      </c>
      <c r="W15" s="130"/>
      <c r="X15" s="165">
        <v>0</v>
      </c>
    </row>
    <row r="16" spans="1:26" s="31" customFormat="1" ht="20" customHeight="1">
      <c r="A16" s="161">
        <v>173880101</v>
      </c>
      <c r="B16" s="162" t="s">
        <v>109</v>
      </c>
      <c r="C16" s="163" t="s">
        <v>329</v>
      </c>
      <c r="D16" s="163" t="s">
        <v>325</v>
      </c>
      <c r="E16" s="163" t="s">
        <v>330</v>
      </c>
      <c r="F16" s="163" t="s">
        <v>325</v>
      </c>
      <c r="G16" s="165">
        <v>23.24</v>
      </c>
      <c r="H16" s="165">
        <v>12.14</v>
      </c>
      <c r="I16" s="165">
        <v>11.1</v>
      </c>
      <c r="J16" s="201">
        <v>41353</v>
      </c>
      <c r="K16" s="201">
        <v>41353</v>
      </c>
      <c r="L16" s="202">
        <v>28</v>
      </c>
      <c r="M16" s="203" t="s">
        <v>327</v>
      </c>
      <c r="N16" s="168" t="s">
        <v>325</v>
      </c>
      <c r="O16" s="167">
        <v>59</v>
      </c>
      <c r="P16" s="130"/>
      <c r="Q16" s="130"/>
      <c r="R16" s="165">
        <v>11.1</v>
      </c>
      <c r="S16" s="130"/>
      <c r="T16" s="132"/>
      <c r="U16" s="203" t="s">
        <v>325</v>
      </c>
      <c r="V16" s="163" t="s">
        <v>325</v>
      </c>
      <c r="W16" s="130"/>
      <c r="X16" s="165">
        <v>0</v>
      </c>
    </row>
    <row r="17" spans="1:24" s="31" customFormat="1" ht="20" customHeight="1">
      <c r="A17" s="161">
        <v>208811116</v>
      </c>
      <c r="B17" s="162" t="s">
        <v>109</v>
      </c>
      <c r="C17" s="163" t="s">
        <v>331</v>
      </c>
      <c r="D17" s="163" t="s">
        <v>325</v>
      </c>
      <c r="E17" s="163" t="s">
        <v>332</v>
      </c>
      <c r="F17" s="163" t="s">
        <v>325</v>
      </c>
      <c r="G17" s="165">
        <v>305.76</v>
      </c>
      <c r="H17" s="165">
        <v>144.18</v>
      </c>
      <c r="I17" s="165">
        <v>161.58000000000001</v>
      </c>
      <c r="J17" s="201">
        <v>41346</v>
      </c>
      <c r="K17" s="201">
        <v>41341</v>
      </c>
      <c r="L17" s="202">
        <v>29</v>
      </c>
      <c r="M17" s="203" t="s">
        <v>327</v>
      </c>
      <c r="N17" s="168" t="s">
        <v>333</v>
      </c>
      <c r="O17" s="167">
        <v>1853</v>
      </c>
      <c r="P17" s="167">
        <v>7.5</v>
      </c>
      <c r="Q17" s="167">
        <v>0.35498084291187737</v>
      </c>
      <c r="R17" s="165">
        <v>161.58000000000001</v>
      </c>
      <c r="S17" s="130"/>
      <c r="T17" s="132"/>
      <c r="U17" s="203" t="s">
        <v>325</v>
      </c>
      <c r="V17" s="163" t="s">
        <v>325</v>
      </c>
      <c r="W17" s="130"/>
      <c r="X17" s="165">
        <v>0</v>
      </c>
    </row>
    <row r="18" spans="1:24" s="31" customFormat="1" ht="20" customHeight="1">
      <c r="A18" s="161">
        <v>248811109</v>
      </c>
      <c r="B18" s="162" t="s">
        <v>109</v>
      </c>
      <c r="C18" s="163" t="s">
        <v>334</v>
      </c>
      <c r="D18" s="163" t="s">
        <v>325</v>
      </c>
      <c r="E18" s="163" t="s">
        <v>325</v>
      </c>
      <c r="F18" s="163" t="s">
        <v>335</v>
      </c>
      <c r="G18" s="165">
        <v>552.14</v>
      </c>
      <c r="H18" s="165">
        <v>283.48</v>
      </c>
      <c r="I18" s="165">
        <v>268.66000000000003</v>
      </c>
      <c r="J18" s="201">
        <v>41346</v>
      </c>
      <c r="K18" s="132"/>
      <c r="L18" s="186"/>
      <c r="M18" s="203" t="s">
        <v>325</v>
      </c>
      <c r="N18" s="168" t="s">
        <v>325</v>
      </c>
      <c r="O18" s="130"/>
      <c r="P18" s="130"/>
      <c r="Q18" s="130"/>
      <c r="R18" s="165">
        <v>0</v>
      </c>
      <c r="S18" s="166">
        <v>41342</v>
      </c>
      <c r="T18" s="168">
        <v>29</v>
      </c>
      <c r="U18" s="203" t="s">
        <v>327</v>
      </c>
      <c r="V18" s="163" t="s">
        <v>336</v>
      </c>
      <c r="W18" s="167">
        <v>848</v>
      </c>
      <c r="X18" s="165">
        <v>268.66000000000003</v>
      </c>
    </row>
    <row r="19" spans="1:24" s="31" customFormat="1" ht="20" customHeight="1">
      <c r="A19" s="161">
        <v>288811101</v>
      </c>
      <c r="B19" s="162" t="s">
        <v>109</v>
      </c>
      <c r="C19" s="163" t="s">
        <v>337</v>
      </c>
      <c r="D19" s="163" t="s">
        <v>325</v>
      </c>
      <c r="E19" s="163" t="s">
        <v>332</v>
      </c>
      <c r="F19" s="163" t="s">
        <v>325</v>
      </c>
      <c r="G19" s="165">
        <v>842.42</v>
      </c>
      <c r="H19" s="165">
        <v>436.2</v>
      </c>
      <c r="I19" s="165">
        <v>406.22</v>
      </c>
      <c r="J19" s="201">
        <v>41346</v>
      </c>
      <c r="K19" s="201">
        <v>41341</v>
      </c>
      <c r="L19" s="202">
        <v>29</v>
      </c>
      <c r="M19" s="203" t="s">
        <v>327</v>
      </c>
      <c r="N19" s="168" t="s">
        <v>338</v>
      </c>
      <c r="O19" s="167">
        <v>7520</v>
      </c>
      <c r="P19" s="167">
        <v>23.2</v>
      </c>
      <c r="Q19" s="167">
        <v>0.4657154181529925</v>
      </c>
      <c r="R19" s="165">
        <v>406.22</v>
      </c>
      <c r="S19" s="130"/>
      <c r="T19" s="132"/>
      <c r="U19" s="203" t="s">
        <v>325</v>
      </c>
      <c r="V19" s="163" t="s">
        <v>325</v>
      </c>
      <c r="W19" s="130"/>
      <c r="X19" s="165">
        <v>0</v>
      </c>
    </row>
    <row r="20" spans="1:24" s="31" customFormat="1" ht="20" customHeight="1">
      <c r="A20" s="161">
        <v>293879106</v>
      </c>
      <c r="B20" s="162" t="s">
        <v>109</v>
      </c>
      <c r="C20" s="163" t="s">
        <v>339</v>
      </c>
      <c r="D20" s="163" t="s">
        <v>340</v>
      </c>
      <c r="E20" s="163" t="s">
        <v>330</v>
      </c>
      <c r="F20" s="163" t="s">
        <v>325</v>
      </c>
      <c r="G20" s="165">
        <v>538.23</v>
      </c>
      <c r="H20" s="165">
        <v>273.95999999999998</v>
      </c>
      <c r="I20" s="165">
        <v>264.27</v>
      </c>
      <c r="J20" s="201">
        <v>41353</v>
      </c>
      <c r="K20" s="201">
        <v>41353</v>
      </c>
      <c r="L20" s="202">
        <v>28</v>
      </c>
      <c r="M20" s="203" t="s">
        <v>327</v>
      </c>
      <c r="N20" s="168" t="s">
        <v>325</v>
      </c>
      <c r="O20" s="167">
        <v>728</v>
      </c>
      <c r="P20" s="130"/>
      <c r="Q20" s="130"/>
      <c r="R20" s="165">
        <v>264.27</v>
      </c>
      <c r="S20" s="130"/>
      <c r="T20" s="132"/>
      <c r="U20" s="203" t="s">
        <v>325</v>
      </c>
      <c r="V20" s="163" t="s">
        <v>325</v>
      </c>
      <c r="W20" s="130"/>
      <c r="X20" s="165">
        <v>0</v>
      </c>
    </row>
    <row r="21" spans="1:24" s="31" customFormat="1" ht="20" customHeight="1">
      <c r="A21" s="161">
        <v>308809118</v>
      </c>
      <c r="B21" s="162" t="s">
        <v>109</v>
      </c>
      <c r="C21" s="163" t="s">
        <v>341</v>
      </c>
      <c r="D21" s="163" t="s">
        <v>325</v>
      </c>
      <c r="E21" s="163" t="s">
        <v>342</v>
      </c>
      <c r="F21" s="163" t="s">
        <v>236</v>
      </c>
      <c r="G21" s="165">
        <v>1001.23</v>
      </c>
      <c r="H21" s="165">
        <v>526.25</v>
      </c>
      <c r="I21" s="165">
        <v>474.98</v>
      </c>
      <c r="J21" s="201">
        <v>41346</v>
      </c>
      <c r="K21" s="201">
        <v>41342</v>
      </c>
      <c r="L21" s="202">
        <v>29</v>
      </c>
      <c r="M21" s="203" t="s">
        <v>327</v>
      </c>
      <c r="N21" s="168" t="s">
        <v>237</v>
      </c>
      <c r="O21" s="167">
        <v>869</v>
      </c>
      <c r="P21" s="130"/>
      <c r="Q21" s="130"/>
      <c r="R21" s="165">
        <v>69.67</v>
      </c>
      <c r="S21" s="166">
        <v>41342</v>
      </c>
      <c r="T21" s="168">
        <v>29</v>
      </c>
      <c r="U21" s="203" t="s">
        <v>327</v>
      </c>
      <c r="V21" s="163" t="s">
        <v>238</v>
      </c>
      <c r="W21" s="167">
        <v>530</v>
      </c>
      <c r="X21" s="165">
        <v>405.31</v>
      </c>
    </row>
    <row r="22" spans="1:24" s="31" customFormat="1" ht="20" customHeight="1">
      <c r="A22" s="161">
        <v>375074007</v>
      </c>
      <c r="B22" s="162" t="s">
        <v>109</v>
      </c>
      <c r="C22" s="163" t="s">
        <v>239</v>
      </c>
      <c r="D22" s="163" t="s">
        <v>325</v>
      </c>
      <c r="E22" s="163" t="s">
        <v>326</v>
      </c>
      <c r="F22" s="170" t="s">
        <v>325</v>
      </c>
      <c r="G22" s="165">
        <v>30.38</v>
      </c>
      <c r="H22" s="165">
        <v>0</v>
      </c>
      <c r="I22" s="165">
        <v>30.38</v>
      </c>
      <c r="J22" s="201">
        <v>41353</v>
      </c>
      <c r="K22" s="201">
        <v>41352</v>
      </c>
      <c r="L22" s="202">
        <v>32</v>
      </c>
      <c r="M22" s="203" t="s">
        <v>327</v>
      </c>
      <c r="N22" s="168" t="s">
        <v>241</v>
      </c>
      <c r="O22" s="167">
        <v>2</v>
      </c>
      <c r="P22" s="130"/>
      <c r="Q22" s="130"/>
      <c r="R22" s="165">
        <v>21.15</v>
      </c>
      <c r="S22" s="130"/>
      <c r="T22" s="132"/>
      <c r="U22" s="204" t="s">
        <v>325</v>
      </c>
      <c r="V22" s="170" t="s">
        <v>325</v>
      </c>
      <c r="W22" s="130"/>
      <c r="X22" s="165">
        <v>0</v>
      </c>
    </row>
    <row r="23" spans="1:24" s="31" customFormat="1" ht="20" customHeight="1">
      <c r="A23" s="161">
        <v>783104003</v>
      </c>
      <c r="B23" s="162" t="s">
        <v>109</v>
      </c>
      <c r="C23" s="163" t="s">
        <v>242</v>
      </c>
      <c r="D23" s="170" t="s">
        <v>325</v>
      </c>
      <c r="E23" s="163" t="s">
        <v>326</v>
      </c>
      <c r="F23" s="170" t="s">
        <v>325</v>
      </c>
      <c r="G23" s="165">
        <v>45.2</v>
      </c>
      <c r="H23" s="165">
        <v>22.69</v>
      </c>
      <c r="I23" s="165">
        <v>22.51</v>
      </c>
      <c r="J23" s="201">
        <v>41346</v>
      </c>
      <c r="K23" s="201">
        <v>41341</v>
      </c>
      <c r="L23" s="202">
        <v>29</v>
      </c>
      <c r="M23" s="203" t="s">
        <v>327</v>
      </c>
      <c r="N23" s="168" t="s">
        <v>243</v>
      </c>
      <c r="O23" s="167">
        <v>20</v>
      </c>
      <c r="P23" s="130"/>
      <c r="Q23" s="130"/>
      <c r="R23" s="165">
        <v>22.51</v>
      </c>
      <c r="S23" s="130"/>
      <c r="T23" s="132"/>
      <c r="U23" s="204" t="s">
        <v>325</v>
      </c>
      <c r="V23" s="170" t="s">
        <v>325</v>
      </c>
      <c r="W23" s="130"/>
      <c r="X23" s="165">
        <v>0</v>
      </c>
    </row>
    <row r="24" spans="1:24" s="31" customFormat="1" ht="20" customHeight="1">
      <c r="A24" s="161">
        <v>852028007</v>
      </c>
      <c r="B24" s="162" t="s">
        <v>109</v>
      </c>
      <c r="C24" s="163" t="s">
        <v>244</v>
      </c>
      <c r="D24" s="170" t="s">
        <v>325</v>
      </c>
      <c r="E24" s="170" t="s">
        <v>325</v>
      </c>
      <c r="F24" s="163" t="s">
        <v>335</v>
      </c>
      <c r="G24" s="165">
        <v>288.60000000000002</v>
      </c>
      <c r="H24" s="165">
        <v>151.4</v>
      </c>
      <c r="I24" s="165">
        <v>137.19999999999999</v>
      </c>
      <c r="J24" s="201">
        <v>41353</v>
      </c>
      <c r="K24" s="132"/>
      <c r="L24" s="186"/>
      <c r="M24" s="204" t="s">
        <v>325</v>
      </c>
      <c r="N24" s="205" t="s">
        <v>325</v>
      </c>
      <c r="O24" s="130"/>
      <c r="P24" s="130"/>
      <c r="Q24" s="130"/>
      <c r="R24" s="165">
        <v>0</v>
      </c>
      <c r="S24" s="166">
        <v>41348</v>
      </c>
      <c r="T24" s="168">
        <v>29</v>
      </c>
      <c r="U24" s="203" t="s">
        <v>327</v>
      </c>
      <c r="V24" s="163" t="s">
        <v>245</v>
      </c>
      <c r="W24" s="167">
        <v>314</v>
      </c>
      <c r="X24" s="165">
        <v>137.19999999999999</v>
      </c>
    </row>
    <row r="25" spans="1:24" s="31" customFormat="1" ht="20" customHeight="1">
      <c r="A25" s="161">
        <v>893816110</v>
      </c>
      <c r="B25" s="162" t="s">
        <v>109</v>
      </c>
      <c r="C25" s="163" t="s">
        <v>246</v>
      </c>
      <c r="D25" s="170" t="s">
        <v>325</v>
      </c>
      <c r="E25" s="163" t="s">
        <v>326</v>
      </c>
      <c r="F25" s="170" t="s">
        <v>325</v>
      </c>
      <c r="G25" s="165">
        <v>56.07</v>
      </c>
      <c r="H25" s="165">
        <v>26.3</v>
      </c>
      <c r="I25" s="165">
        <v>29.77</v>
      </c>
      <c r="J25" s="201">
        <v>41353</v>
      </c>
      <c r="K25" s="201">
        <v>41352</v>
      </c>
      <c r="L25" s="202">
        <v>32</v>
      </c>
      <c r="M25" s="203" t="s">
        <v>327</v>
      </c>
      <c r="N25" s="168" t="s">
        <v>247</v>
      </c>
      <c r="O25" s="167">
        <v>118</v>
      </c>
      <c r="P25" s="130"/>
      <c r="Q25" s="130"/>
      <c r="R25" s="165">
        <v>29.77</v>
      </c>
      <c r="S25" s="130"/>
      <c r="T25" s="132"/>
      <c r="U25" s="204" t="s">
        <v>325</v>
      </c>
      <c r="V25" s="170" t="s">
        <v>325</v>
      </c>
      <c r="W25" s="130"/>
      <c r="X25" s="165">
        <v>0</v>
      </c>
    </row>
    <row r="26" spans="1:24" s="31" customFormat="1" ht="20" customHeight="1">
      <c r="A26" s="161">
        <v>893819102</v>
      </c>
      <c r="B26" s="162" t="s">
        <v>109</v>
      </c>
      <c r="C26" s="163" t="s">
        <v>248</v>
      </c>
      <c r="D26" s="170" t="s">
        <v>325</v>
      </c>
      <c r="E26" s="170" t="s">
        <v>325</v>
      </c>
      <c r="F26" s="163" t="s">
        <v>335</v>
      </c>
      <c r="G26" s="165">
        <v>175.17</v>
      </c>
      <c r="H26" s="165">
        <v>86.98</v>
      </c>
      <c r="I26" s="165">
        <v>88.19</v>
      </c>
      <c r="J26" s="201">
        <v>41353</v>
      </c>
      <c r="K26" s="132"/>
      <c r="L26" s="186"/>
      <c r="M26" s="204" t="s">
        <v>325</v>
      </c>
      <c r="N26" s="205" t="s">
        <v>325</v>
      </c>
      <c r="O26" s="130"/>
      <c r="P26" s="130"/>
      <c r="Q26" s="130"/>
      <c r="R26" s="165">
        <v>0</v>
      </c>
      <c r="S26" s="166">
        <v>41348</v>
      </c>
      <c r="T26" s="168">
        <v>29</v>
      </c>
      <c r="U26" s="203" t="s">
        <v>327</v>
      </c>
      <c r="V26" s="163" t="s">
        <v>249</v>
      </c>
      <c r="W26" s="167">
        <v>170</v>
      </c>
      <c r="X26" s="165">
        <v>88.19</v>
      </c>
    </row>
    <row r="27" spans="1:24" s="31" customFormat="1" ht="20" customHeight="1">
      <c r="A27" s="161">
        <v>913819100</v>
      </c>
      <c r="B27" s="162" t="s">
        <v>109</v>
      </c>
      <c r="C27" s="163" t="s">
        <v>250</v>
      </c>
      <c r="D27" s="170" t="s">
        <v>325</v>
      </c>
      <c r="E27" s="170" t="s">
        <v>325</v>
      </c>
      <c r="F27" s="163" t="s">
        <v>335</v>
      </c>
      <c r="G27" s="165">
        <v>201.79</v>
      </c>
      <c r="H27" s="165">
        <v>117.44</v>
      </c>
      <c r="I27" s="165">
        <v>84.35</v>
      </c>
      <c r="J27" s="201">
        <v>41353</v>
      </c>
      <c r="K27" s="132"/>
      <c r="L27" s="186"/>
      <c r="M27" s="204" t="s">
        <v>325</v>
      </c>
      <c r="N27" s="205" t="s">
        <v>325</v>
      </c>
      <c r="O27" s="130"/>
      <c r="P27" s="130"/>
      <c r="Q27" s="130"/>
      <c r="R27" s="165">
        <v>0</v>
      </c>
      <c r="S27" s="166">
        <v>41348</v>
      </c>
      <c r="T27" s="168">
        <v>29</v>
      </c>
      <c r="U27" s="203" t="s">
        <v>327</v>
      </c>
      <c r="V27" s="163" t="s">
        <v>251</v>
      </c>
      <c r="W27" s="167">
        <v>160</v>
      </c>
      <c r="X27" s="165">
        <v>84.35</v>
      </c>
    </row>
    <row r="28" spans="1:24" s="31" customFormat="1" ht="20" customHeight="1">
      <c r="A28" s="161">
        <v>933819115</v>
      </c>
      <c r="B28" s="162" t="s">
        <v>109</v>
      </c>
      <c r="C28" s="163" t="s">
        <v>252</v>
      </c>
      <c r="D28" s="170" t="s">
        <v>325</v>
      </c>
      <c r="E28" s="170" t="s">
        <v>325</v>
      </c>
      <c r="F28" s="163" t="s">
        <v>335</v>
      </c>
      <c r="G28" s="165">
        <v>318.69</v>
      </c>
      <c r="H28" s="165">
        <v>178.28</v>
      </c>
      <c r="I28" s="165">
        <v>140.41</v>
      </c>
      <c r="J28" s="201">
        <v>41353</v>
      </c>
      <c r="K28" s="132"/>
      <c r="L28" s="186"/>
      <c r="M28" s="204" t="s">
        <v>325</v>
      </c>
      <c r="N28" s="205" t="s">
        <v>325</v>
      </c>
      <c r="O28" s="130"/>
      <c r="P28" s="130"/>
      <c r="Q28" s="130"/>
      <c r="R28" s="165">
        <v>0</v>
      </c>
      <c r="S28" s="166">
        <v>41348</v>
      </c>
      <c r="T28" s="168">
        <v>29</v>
      </c>
      <c r="U28" s="203" t="s">
        <v>327</v>
      </c>
      <c r="V28" s="163" t="s">
        <v>253</v>
      </c>
      <c r="W28" s="167">
        <v>327</v>
      </c>
      <c r="X28" s="165">
        <v>140.41</v>
      </c>
    </row>
    <row r="29" spans="1:24" s="31" customFormat="1" ht="20" customHeight="1">
      <c r="A29" s="161">
        <v>948810124</v>
      </c>
      <c r="B29" s="162" t="s">
        <v>109</v>
      </c>
      <c r="C29" s="163" t="s">
        <v>254</v>
      </c>
      <c r="D29" s="170" t="s">
        <v>325</v>
      </c>
      <c r="E29" s="163" t="s">
        <v>255</v>
      </c>
      <c r="F29" s="170" t="s">
        <v>325</v>
      </c>
      <c r="G29" s="165">
        <v>157.16999999999999</v>
      </c>
      <c r="H29" s="165">
        <v>86.58</v>
      </c>
      <c r="I29" s="165">
        <v>70.59</v>
      </c>
      <c r="J29" s="201">
        <v>41346</v>
      </c>
      <c r="K29" s="201">
        <v>41341</v>
      </c>
      <c r="L29" s="202">
        <v>29</v>
      </c>
      <c r="M29" s="203" t="s">
        <v>327</v>
      </c>
      <c r="N29" s="168" t="s">
        <v>256</v>
      </c>
      <c r="O29" s="167">
        <v>429</v>
      </c>
      <c r="P29" s="130"/>
      <c r="Q29" s="130"/>
      <c r="R29" s="165">
        <v>70.59</v>
      </c>
      <c r="S29" s="130"/>
      <c r="T29" s="132"/>
      <c r="U29" s="204" t="s">
        <v>325</v>
      </c>
      <c r="V29" s="170" t="s">
        <v>325</v>
      </c>
      <c r="W29" s="130"/>
      <c r="X29" s="165">
        <v>0</v>
      </c>
    </row>
    <row r="30" spans="1:24" s="31" customFormat="1" ht="20" customHeight="1">
      <c r="A30" s="161">
        <v>1028809119</v>
      </c>
      <c r="B30" s="162" t="s">
        <v>109</v>
      </c>
      <c r="C30" s="163" t="s">
        <v>257</v>
      </c>
      <c r="D30" s="170" t="s">
        <v>325</v>
      </c>
      <c r="E30" s="163" t="s">
        <v>255</v>
      </c>
      <c r="F30" s="170" t="s">
        <v>325</v>
      </c>
      <c r="G30" s="165">
        <v>41.67</v>
      </c>
      <c r="H30" s="165">
        <v>20.65</v>
      </c>
      <c r="I30" s="165">
        <v>21.02</v>
      </c>
      <c r="J30" s="201">
        <v>41346</v>
      </c>
      <c r="K30" s="201">
        <v>41342</v>
      </c>
      <c r="L30" s="202">
        <v>29</v>
      </c>
      <c r="M30" s="203" t="s">
        <v>327</v>
      </c>
      <c r="N30" s="168" t="s">
        <v>258</v>
      </c>
      <c r="O30" s="167">
        <v>0</v>
      </c>
      <c r="P30" s="130"/>
      <c r="Q30" s="130"/>
      <c r="R30" s="165">
        <v>21.02</v>
      </c>
      <c r="S30" s="130"/>
      <c r="T30" s="132"/>
      <c r="U30" s="204" t="s">
        <v>325</v>
      </c>
      <c r="V30" s="170" t="s">
        <v>325</v>
      </c>
      <c r="W30" s="130"/>
      <c r="X30" s="165">
        <v>0</v>
      </c>
    </row>
    <row r="31" spans="1:24" s="31" customFormat="1" ht="20" customHeight="1">
      <c r="A31" s="161">
        <v>1133133008</v>
      </c>
      <c r="B31" s="162" t="s">
        <v>109</v>
      </c>
      <c r="C31" s="163" t="s">
        <v>259</v>
      </c>
      <c r="D31" s="170" t="s">
        <v>325</v>
      </c>
      <c r="E31" s="163" t="s">
        <v>326</v>
      </c>
      <c r="F31" s="170" t="s">
        <v>325</v>
      </c>
      <c r="G31" s="165">
        <v>64.31</v>
      </c>
      <c r="H31" s="165">
        <v>31.71</v>
      </c>
      <c r="I31" s="165">
        <v>32.6</v>
      </c>
      <c r="J31" s="201">
        <v>41340</v>
      </c>
      <c r="K31" s="201">
        <v>41337</v>
      </c>
      <c r="L31" s="202">
        <v>31</v>
      </c>
      <c r="M31" s="203" t="s">
        <v>327</v>
      </c>
      <c r="N31" s="168" t="s">
        <v>260</v>
      </c>
      <c r="O31" s="167">
        <v>156</v>
      </c>
      <c r="P31" s="130"/>
      <c r="Q31" s="130"/>
      <c r="R31" s="165">
        <v>32.6</v>
      </c>
      <c r="S31" s="130"/>
      <c r="T31" s="132"/>
      <c r="U31" s="204" t="s">
        <v>325</v>
      </c>
      <c r="V31" s="170" t="s">
        <v>325</v>
      </c>
      <c r="W31" s="130"/>
      <c r="X31" s="165">
        <v>0</v>
      </c>
    </row>
    <row r="32" spans="1:24" s="31" customFormat="1" ht="20" customHeight="1">
      <c r="A32" s="161">
        <v>1133819101</v>
      </c>
      <c r="B32" s="162" t="s">
        <v>109</v>
      </c>
      <c r="C32" s="163" t="s">
        <v>261</v>
      </c>
      <c r="D32" s="170" t="s">
        <v>325</v>
      </c>
      <c r="E32" s="163" t="s">
        <v>326</v>
      </c>
      <c r="F32" s="170" t="s">
        <v>325</v>
      </c>
      <c r="G32" s="165">
        <v>104.13</v>
      </c>
      <c r="H32" s="165">
        <v>51.9</v>
      </c>
      <c r="I32" s="165">
        <v>52.23</v>
      </c>
      <c r="J32" s="201">
        <v>41353</v>
      </c>
      <c r="K32" s="201">
        <v>41348</v>
      </c>
      <c r="L32" s="202">
        <v>29</v>
      </c>
      <c r="M32" s="203" t="s">
        <v>327</v>
      </c>
      <c r="N32" s="168" t="s">
        <v>262</v>
      </c>
      <c r="O32" s="167">
        <v>421</v>
      </c>
      <c r="P32" s="130"/>
      <c r="Q32" s="130"/>
      <c r="R32" s="165">
        <v>52.23</v>
      </c>
      <c r="S32" s="130"/>
      <c r="T32" s="132"/>
      <c r="U32" s="204" t="s">
        <v>325</v>
      </c>
      <c r="V32" s="170" t="s">
        <v>325</v>
      </c>
      <c r="W32" s="130"/>
      <c r="X32" s="165">
        <v>0</v>
      </c>
    </row>
    <row r="33" spans="1:24" s="31" customFormat="1" ht="20" customHeight="1">
      <c r="A33" s="161">
        <v>1193808115</v>
      </c>
      <c r="B33" s="162" t="s">
        <v>109</v>
      </c>
      <c r="C33" s="163" t="s">
        <v>263</v>
      </c>
      <c r="D33" s="170" t="s">
        <v>325</v>
      </c>
      <c r="E33" s="163" t="s">
        <v>326</v>
      </c>
      <c r="F33" s="163" t="s">
        <v>325</v>
      </c>
      <c r="G33" s="165">
        <v>101.63</v>
      </c>
      <c r="H33" s="165">
        <v>33.33</v>
      </c>
      <c r="I33" s="165">
        <v>68.3</v>
      </c>
      <c r="J33" s="201">
        <v>41353</v>
      </c>
      <c r="K33" s="201">
        <v>41348</v>
      </c>
      <c r="L33" s="202">
        <v>29</v>
      </c>
      <c r="M33" s="203" t="s">
        <v>327</v>
      </c>
      <c r="N33" s="168" t="s">
        <v>264</v>
      </c>
      <c r="O33" s="167">
        <v>638</v>
      </c>
      <c r="P33" s="130"/>
      <c r="Q33" s="130"/>
      <c r="R33" s="165">
        <v>68.3</v>
      </c>
      <c r="S33" s="130"/>
      <c r="T33" s="132"/>
      <c r="U33" s="203" t="s">
        <v>325</v>
      </c>
      <c r="V33" s="163" t="s">
        <v>325</v>
      </c>
      <c r="W33" s="130"/>
      <c r="X33" s="165">
        <v>0</v>
      </c>
    </row>
    <row r="34" spans="1:24" s="31" customFormat="1" ht="20" customHeight="1">
      <c r="A34" s="161">
        <v>1492627005</v>
      </c>
      <c r="B34" s="162" t="s">
        <v>109</v>
      </c>
      <c r="C34" s="163" t="s">
        <v>265</v>
      </c>
      <c r="D34" s="163" t="s">
        <v>325</v>
      </c>
      <c r="E34" s="163" t="s">
        <v>326</v>
      </c>
      <c r="F34" s="170" t="s">
        <v>325</v>
      </c>
      <c r="G34" s="165">
        <v>51.59</v>
      </c>
      <c r="H34" s="165">
        <v>24.18</v>
      </c>
      <c r="I34" s="165">
        <v>27.41</v>
      </c>
      <c r="J34" s="201">
        <v>41346</v>
      </c>
      <c r="K34" s="201">
        <v>41341</v>
      </c>
      <c r="L34" s="202">
        <v>29</v>
      </c>
      <c r="M34" s="203" t="s">
        <v>327</v>
      </c>
      <c r="N34" s="168" t="s">
        <v>266</v>
      </c>
      <c r="O34" s="167">
        <v>86</v>
      </c>
      <c r="P34" s="130"/>
      <c r="Q34" s="130"/>
      <c r="R34" s="165">
        <v>27.41</v>
      </c>
      <c r="S34" s="130"/>
      <c r="T34" s="132"/>
      <c r="U34" s="204" t="s">
        <v>325</v>
      </c>
      <c r="V34" s="170" t="s">
        <v>325</v>
      </c>
      <c r="W34" s="130"/>
      <c r="X34" s="165">
        <v>0</v>
      </c>
    </row>
    <row r="35" spans="1:24" s="31" customFormat="1" ht="20" customHeight="1">
      <c r="A35" s="161">
        <v>1513818115</v>
      </c>
      <c r="B35" s="162" t="s">
        <v>109</v>
      </c>
      <c r="C35" s="163" t="s">
        <v>267</v>
      </c>
      <c r="D35" s="170" t="s">
        <v>325</v>
      </c>
      <c r="E35" s="163" t="s">
        <v>326</v>
      </c>
      <c r="F35" s="170" t="s">
        <v>325</v>
      </c>
      <c r="G35" s="165">
        <v>67.180000000000007</v>
      </c>
      <c r="H35" s="165">
        <v>32.58</v>
      </c>
      <c r="I35" s="165">
        <v>34.6</v>
      </c>
      <c r="J35" s="201">
        <v>41353</v>
      </c>
      <c r="K35" s="201">
        <v>41348</v>
      </c>
      <c r="L35" s="202">
        <v>29</v>
      </c>
      <c r="M35" s="203" t="s">
        <v>327</v>
      </c>
      <c r="N35" s="168" t="s">
        <v>268</v>
      </c>
      <c r="O35" s="167">
        <v>183</v>
      </c>
      <c r="P35" s="130"/>
      <c r="Q35" s="130"/>
      <c r="R35" s="165">
        <v>34.6</v>
      </c>
      <c r="S35" s="130"/>
      <c r="T35" s="132"/>
      <c r="U35" s="204" t="s">
        <v>325</v>
      </c>
      <c r="V35" s="170" t="s">
        <v>325</v>
      </c>
      <c r="W35" s="130"/>
      <c r="X35" s="165">
        <v>0</v>
      </c>
    </row>
    <row r="36" spans="1:24" s="31" customFormat="1" ht="20" customHeight="1">
      <c r="A36" s="161">
        <v>1608811106</v>
      </c>
      <c r="B36" s="162" t="s">
        <v>109</v>
      </c>
      <c r="C36" s="163" t="s">
        <v>337</v>
      </c>
      <c r="D36" s="170" t="s">
        <v>325</v>
      </c>
      <c r="E36" s="163" t="s">
        <v>332</v>
      </c>
      <c r="F36" s="170" t="s">
        <v>325</v>
      </c>
      <c r="G36" s="165">
        <v>188.08</v>
      </c>
      <c r="H36" s="165">
        <v>84.72</v>
      </c>
      <c r="I36" s="165">
        <v>103.36</v>
      </c>
      <c r="J36" s="201">
        <v>41346</v>
      </c>
      <c r="K36" s="201">
        <v>41345</v>
      </c>
      <c r="L36" s="202">
        <v>29</v>
      </c>
      <c r="M36" s="203" t="s">
        <v>327</v>
      </c>
      <c r="N36" s="168" t="s">
        <v>269</v>
      </c>
      <c r="O36" s="167">
        <v>859</v>
      </c>
      <c r="P36" s="167">
        <v>3.5</v>
      </c>
      <c r="Q36" s="167">
        <v>0.35262725779967163</v>
      </c>
      <c r="R36" s="165">
        <v>103.36</v>
      </c>
      <c r="S36" s="130"/>
      <c r="T36" s="132"/>
      <c r="U36" s="204" t="s">
        <v>325</v>
      </c>
      <c r="V36" s="170" t="s">
        <v>325</v>
      </c>
      <c r="W36" s="130"/>
      <c r="X36" s="165">
        <v>0</v>
      </c>
    </row>
    <row r="37" spans="1:24" s="31" customFormat="1" ht="20" customHeight="1">
      <c r="A37" s="161">
        <v>1653819107</v>
      </c>
      <c r="B37" s="162" t="s">
        <v>109</v>
      </c>
      <c r="C37" s="163" t="s">
        <v>270</v>
      </c>
      <c r="D37" s="170" t="s">
        <v>325</v>
      </c>
      <c r="E37" s="163" t="s">
        <v>326</v>
      </c>
      <c r="F37" s="170" t="s">
        <v>325</v>
      </c>
      <c r="G37" s="165">
        <v>165.78</v>
      </c>
      <c r="H37" s="165">
        <v>83.89</v>
      </c>
      <c r="I37" s="165">
        <v>81.89</v>
      </c>
      <c r="J37" s="201">
        <v>41353</v>
      </c>
      <c r="K37" s="201">
        <v>41348</v>
      </c>
      <c r="L37" s="202">
        <v>29</v>
      </c>
      <c r="M37" s="203" t="s">
        <v>327</v>
      </c>
      <c r="N37" s="168" t="s">
        <v>271</v>
      </c>
      <c r="O37" s="167">
        <v>821</v>
      </c>
      <c r="P37" s="130"/>
      <c r="Q37" s="130"/>
      <c r="R37" s="165">
        <v>81.89</v>
      </c>
      <c r="S37" s="130"/>
      <c r="T37" s="132"/>
      <c r="U37" s="204" t="s">
        <v>325</v>
      </c>
      <c r="V37" s="170" t="s">
        <v>325</v>
      </c>
      <c r="W37" s="130"/>
      <c r="X37" s="165">
        <v>0</v>
      </c>
    </row>
    <row r="38" spans="1:24" s="31" customFormat="1" ht="20" customHeight="1">
      <c r="A38" s="161">
        <v>1833820108</v>
      </c>
      <c r="B38" s="162" t="s">
        <v>109</v>
      </c>
      <c r="C38" s="163" t="s">
        <v>272</v>
      </c>
      <c r="D38" s="170" t="s">
        <v>325</v>
      </c>
      <c r="E38" s="163" t="s">
        <v>326</v>
      </c>
      <c r="F38" s="170" t="s">
        <v>325</v>
      </c>
      <c r="G38" s="165">
        <v>167.36</v>
      </c>
      <c r="H38" s="165">
        <v>84.43</v>
      </c>
      <c r="I38" s="165">
        <v>82.93</v>
      </c>
      <c r="J38" s="201">
        <v>41353</v>
      </c>
      <c r="K38" s="201">
        <v>41348</v>
      </c>
      <c r="L38" s="202">
        <v>29</v>
      </c>
      <c r="M38" s="203" t="s">
        <v>327</v>
      </c>
      <c r="N38" s="168" t="s">
        <v>273</v>
      </c>
      <c r="O38" s="167">
        <v>835</v>
      </c>
      <c r="P38" s="130"/>
      <c r="Q38" s="130"/>
      <c r="R38" s="165">
        <v>82.93</v>
      </c>
      <c r="S38" s="130"/>
      <c r="T38" s="132"/>
      <c r="U38" s="204" t="s">
        <v>325</v>
      </c>
      <c r="V38" s="170" t="s">
        <v>325</v>
      </c>
      <c r="W38" s="130"/>
      <c r="X38" s="165">
        <v>0</v>
      </c>
    </row>
    <row r="39" spans="1:24" s="31" customFormat="1" ht="20" customHeight="1">
      <c r="A39" s="161">
        <v>1851009009</v>
      </c>
      <c r="B39" s="162" t="s">
        <v>109</v>
      </c>
      <c r="C39" s="163" t="s">
        <v>274</v>
      </c>
      <c r="D39" s="170" t="s">
        <v>325</v>
      </c>
      <c r="E39" s="163" t="s">
        <v>326</v>
      </c>
      <c r="F39" s="170" t="s">
        <v>325</v>
      </c>
      <c r="G39" s="165">
        <v>105.16</v>
      </c>
      <c r="H39" s="165">
        <v>53</v>
      </c>
      <c r="I39" s="165">
        <v>52.16</v>
      </c>
      <c r="J39" s="201">
        <v>41353</v>
      </c>
      <c r="K39" s="201">
        <v>41348</v>
      </c>
      <c r="L39" s="202">
        <v>29</v>
      </c>
      <c r="M39" s="203" t="s">
        <v>327</v>
      </c>
      <c r="N39" s="168" t="s">
        <v>275</v>
      </c>
      <c r="O39" s="167">
        <v>420</v>
      </c>
      <c r="P39" s="130"/>
      <c r="Q39" s="130"/>
      <c r="R39" s="165">
        <v>52.16</v>
      </c>
      <c r="S39" s="130"/>
      <c r="T39" s="132"/>
      <c r="U39" s="204" t="s">
        <v>325</v>
      </c>
      <c r="V39" s="170" t="s">
        <v>325</v>
      </c>
      <c r="W39" s="130"/>
      <c r="X39" s="165">
        <v>0</v>
      </c>
    </row>
    <row r="40" spans="1:24" s="31" customFormat="1" ht="20" customHeight="1">
      <c r="A40" s="161">
        <v>1933810131</v>
      </c>
      <c r="B40" s="162" t="s">
        <v>109</v>
      </c>
      <c r="C40" s="163" t="s">
        <v>276</v>
      </c>
      <c r="D40" s="170" t="s">
        <v>325</v>
      </c>
      <c r="E40" s="163" t="s">
        <v>332</v>
      </c>
      <c r="F40" s="163" t="s">
        <v>277</v>
      </c>
      <c r="G40" s="165">
        <v>969.16</v>
      </c>
      <c r="H40" s="165">
        <v>521.13</v>
      </c>
      <c r="I40" s="165">
        <v>448.03</v>
      </c>
      <c r="J40" s="201">
        <v>41353</v>
      </c>
      <c r="K40" s="201">
        <v>41348</v>
      </c>
      <c r="L40" s="202">
        <v>29</v>
      </c>
      <c r="M40" s="203" t="s">
        <v>327</v>
      </c>
      <c r="N40" s="168" t="s">
        <v>278</v>
      </c>
      <c r="O40" s="167">
        <v>607</v>
      </c>
      <c r="P40" s="167">
        <v>4.5</v>
      </c>
      <c r="Q40" s="167">
        <v>0.19380587484035761</v>
      </c>
      <c r="R40" s="165">
        <v>113.35</v>
      </c>
      <c r="S40" s="166">
        <v>41348</v>
      </c>
      <c r="T40" s="168">
        <v>29</v>
      </c>
      <c r="U40" s="203" t="s">
        <v>327</v>
      </c>
      <c r="V40" s="163" t="s">
        <v>279</v>
      </c>
      <c r="W40" s="167">
        <v>337</v>
      </c>
      <c r="X40" s="165">
        <v>334.68</v>
      </c>
    </row>
    <row r="41" spans="1:24" s="31" customFormat="1" ht="20" customHeight="1">
      <c r="A41" s="161">
        <v>2133819102</v>
      </c>
      <c r="B41" s="162" t="s">
        <v>109</v>
      </c>
      <c r="C41" s="163" t="s">
        <v>280</v>
      </c>
      <c r="D41" s="170" t="s">
        <v>325</v>
      </c>
      <c r="E41" s="163" t="s">
        <v>332</v>
      </c>
      <c r="F41" s="170" t="s">
        <v>325</v>
      </c>
      <c r="G41" s="165">
        <v>458.74</v>
      </c>
      <c r="H41" s="165">
        <v>264.45999999999998</v>
      </c>
      <c r="I41" s="165">
        <v>194.28</v>
      </c>
      <c r="J41" s="201">
        <v>41353</v>
      </c>
      <c r="K41" s="201">
        <v>41353</v>
      </c>
      <c r="L41" s="202">
        <v>29</v>
      </c>
      <c r="M41" s="203" t="s">
        <v>327</v>
      </c>
      <c r="N41" s="168" t="s">
        <v>281</v>
      </c>
      <c r="O41" s="167">
        <v>1804</v>
      </c>
      <c r="P41" s="167">
        <v>10.199999999999999</v>
      </c>
      <c r="Q41" s="167">
        <v>0.25411313950867703</v>
      </c>
      <c r="R41" s="165">
        <v>194.28</v>
      </c>
      <c r="S41" s="130"/>
      <c r="T41" s="132"/>
      <c r="U41" s="204" t="s">
        <v>325</v>
      </c>
      <c r="V41" s="170" t="s">
        <v>325</v>
      </c>
      <c r="W41" s="130"/>
      <c r="X41" s="165">
        <v>0</v>
      </c>
    </row>
    <row r="42" spans="1:24" s="31" customFormat="1" ht="20" customHeight="1">
      <c r="A42" s="161">
        <v>2133821120</v>
      </c>
      <c r="B42" s="162" t="s">
        <v>109</v>
      </c>
      <c r="C42" s="163" t="s">
        <v>194</v>
      </c>
      <c r="D42" s="170" t="s">
        <v>325</v>
      </c>
      <c r="E42" s="163" t="s">
        <v>326</v>
      </c>
      <c r="F42" s="170" t="s">
        <v>325</v>
      </c>
      <c r="G42" s="165">
        <v>265.18</v>
      </c>
      <c r="H42" s="165">
        <v>128.79</v>
      </c>
      <c r="I42" s="165">
        <v>136.38999999999999</v>
      </c>
      <c r="J42" s="201">
        <v>41353</v>
      </c>
      <c r="K42" s="201">
        <v>41352</v>
      </c>
      <c r="L42" s="202">
        <v>32</v>
      </c>
      <c r="M42" s="203" t="s">
        <v>327</v>
      </c>
      <c r="N42" s="168" t="s">
        <v>195</v>
      </c>
      <c r="O42" s="167">
        <v>1556</v>
      </c>
      <c r="P42" s="130"/>
      <c r="Q42" s="130"/>
      <c r="R42" s="165">
        <v>136.38999999999999</v>
      </c>
      <c r="S42" s="130"/>
      <c r="T42" s="132"/>
      <c r="U42" s="204" t="s">
        <v>325</v>
      </c>
      <c r="V42" s="170" t="s">
        <v>325</v>
      </c>
      <c r="W42" s="130"/>
      <c r="X42" s="165">
        <v>0</v>
      </c>
    </row>
    <row r="43" spans="1:24" s="31" customFormat="1" ht="20" customHeight="1">
      <c r="A43" s="161">
        <v>2137454018</v>
      </c>
      <c r="B43" s="162" t="s">
        <v>109</v>
      </c>
      <c r="C43" s="163" t="s">
        <v>196</v>
      </c>
      <c r="D43" s="170" t="s">
        <v>325</v>
      </c>
      <c r="E43" s="163" t="s">
        <v>255</v>
      </c>
      <c r="F43" s="170" t="s">
        <v>325</v>
      </c>
      <c r="G43" s="165">
        <v>43.29</v>
      </c>
      <c r="H43" s="165">
        <v>21.68</v>
      </c>
      <c r="I43" s="165">
        <v>21.61</v>
      </c>
      <c r="J43" s="201">
        <v>41353</v>
      </c>
      <c r="K43" s="201">
        <v>41348</v>
      </c>
      <c r="L43" s="202">
        <v>29</v>
      </c>
      <c r="M43" s="203" t="s">
        <v>327</v>
      </c>
      <c r="N43" s="168" t="s">
        <v>197</v>
      </c>
      <c r="O43" s="167">
        <v>5</v>
      </c>
      <c r="P43" s="130"/>
      <c r="Q43" s="130"/>
      <c r="R43" s="165">
        <v>21.61</v>
      </c>
      <c r="S43" s="130"/>
      <c r="T43" s="132"/>
      <c r="U43" s="204" t="s">
        <v>325</v>
      </c>
      <c r="V43" s="170" t="s">
        <v>325</v>
      </c>
      <c r="W43" s="130"/>
      <c r="X43" s="165">
        <v>0</v>
      </c>
    </row>
    <row r="44" spans="1:24" s="31" customFormat="1" ht="20" customHeight="1">
      <c r="A44" s="161">
        <v>2217686007</v>
      </c>
      <c r="B44" s="162" t="s">
        <v>109</v>
      </c>
      <c r="C44" s="163" t="s">
        <v>198</v>
      </c>
      <c r="D44" s="170" t="s">
        <v>325</v>
      </c>
      <c r="E44" s="163" t="s">
        <v>255</v>
      </c>
      <c r="F44" s="170" t="s">
        <v>325</v>
      </c>
      <c r="G44" s="165">
        <v>111.93</v>
      </c>
      <c r="H44" s="165">
        <v>57.13</v>
      </c>
      <c r="I44" s="165">
        <v>54.8</v>
      </c>
      <c r="J44" s="201">
        <v>41353</v>
      </c>
      <c r="K44" s="201">
        <v>41348</v>
      </c>
      <c r="L44" s="202">
        <v>29</v>
      </c>
      <c r="M44" s="203" t="s">
        <v>327</v>
      </c>
      <c r="N44" s="168" t="s">
        <v>199</v>
      </c>
      <c r="O44" s="167">
        <v>285</v>
      </c>
      <c r="P44" s="130"/>
      <c r="Q44" s="130"/>
      <c r="R44" s="165">
        <v>54.8</v>
      </c>
      <c r="S44" s="130"/>
      <c r="T44" s="132"/>
      <c r="U44" s="204" t="s">
        <v>325</v>
      </c>
      <c r="V44" s="170" t="s">
        <v>325</v>
      </c>
      <c r="W44" s="130"/>
      <c r="X44" s="165">
        <v>0</v>
      </c>
    </row>
    <row r="45" spans="1:24" s="31" customFormat="1" ht="20" customHeight="1">
      <c r="A45" s="161">
        <v>2480127108</v>
      </c>
      <c r="B45" s="162" t="s">
        <v>109</v>
      </c>
      <c r="C45" s="163" t="s">
        <v>200</v>
      </c>
      <c r="D45" s="170" t="s">
        <v>325</v>
      </c>
      <c r="E45" s="163" t="s">
        <v>201</v>
      </c>
      <c r="F45" s="170" t="s">
        <v>325</v>
      </c>
      <c r="G45" s="165">
        <v>87.34</v>
      </c>
      <c r="H45" s="165">
        <v>43.83</v>
      </c>
      <c r="I45" s="165">
        <v>43.51</v>
      </c>
      <c r="J45" s="201">
        <v>41334</v>
      </c>
      <c r="K45" s="201">
        <v>41334</v>
      </c>
      <c r="L45" s="202">
        <v>29</v>
      </c>
      <c r="M45" s="203" t="s">
        <v>327</v>
      </c>
      <c r="N45" s="205" t="s">
        <v>325</v>
      </c>
      <c r="O45" s="167">
        <v>332</v>
      </c>
      <c r="P45" s="130"/>
      <c r="Q45" s="130"/>
      <c r="R45" s="165">
        <v>43.51</v>
      </c>
      <c r="S45" s="130"/>
      <c r="T45" s="132"/>
      <c r="U45" s="204" t="s">
        <v>325</v>
      </c>
      <c r="V45" s="170" t="s">
        <v>325</v>
      </c>
      <c r="W45" s="130"/>
      <c r="X45" s="165">
        <v>0</v>
      </c>
    </row>
    <row r="46" spans="1:24" s="31" customFormat="1" ht="20" customHeight="1">
      <c r="A46" s="161">
        <v>2533809113</v>
      </c>
      <c r="B46" s="162" t="s">
        <v>109</v>
      </c>
      <c r="C46" s="163" t="s">
        <v>202</v>
      </c>
      <c r="D46" s="170" t="s">
        <v>325</v>
      </c>
      <c r="E46" s="163" t="s">
        <v>326</v>
      </c>
      <c r="F46" s="163" t="s">
        <v>277</v>
      </c>
      <c r="G46" s="165">
        <v>260.92</v>
      </c>
      <c r="H46" s="165">
        <v>116.76</v>
      </c>
      <c r="I46" s="165">
        <v>144.16</v>
      </c>
      <c r="J46" s="201">
        <v>41353</v>
      </c>
      <c r="K46" s="201">
        <v>41352</v>
      </c>
      <c r="L46" s="202">
        <v>32</v>
      </c>
      <c r="M46" s="203" t="s">
        <v>327</v>
      </c>
      <c r="N46" s="168" t="s">
        <v>203</v>
      </c>
      <c r="O46" s="167">
        <v>1303</v>
      </c>
      <c r="P46" s="130"/>
      <c r="Q46" s="130"/>
      <c r="R46" s="165">
        <v>117.63</v>
      </c>
      <c r="S46" s="166">
        <v>41348</v>
      </c>
      <c r="T46" s="168">
        <v>29</v>
      </c>
      <c r="U46" s="203" t="s">
        <v>327</v>
      </c>
      <c r="V46" s="163" t="s">
        <v>204</v>
      </c>
      <c r="W46" s="167">
        <v>4</v>
      </c>
      <c r="X46" s="165">
        <v>26.53</v>
      </c>
    </row>
    <row r="47" spans="1:24" s="31" customFormat="1" ht="20" customHeight="1">
      <c r="A47" s="161">
        <v>2693810107</v>
      </c>
      <c r="B47" s="162" t="s">
        <v>109</v>
      </c>
      <c r="C47" s="163" t="s">
        <v>205</v>
      </c>
      <c r="D47" s="170" t="s">
        <v>325</v>
      </c>
      <c r="E47" s="163" t="s">
        <v>332</v>
      </c>
      <c r="F47" s="170" t="s">
        <v>325</v>
      </c>
      <c r="G47" s="165">
        <v>1423.48</v>
      </c>
      <c r="H47" s="165">
        <v>710.28</v>
      </c>
      <c r="I47" s="165">
        <v>713.2</v>
      </c>
      <c r="J47" s="201">
        <v>41353</v>
      </c>
      <c r="K47" s="201">
        <v>41348</v>
      </c>
      <c r="L47" s="202">
        <v>29</v>
      </c>
      <c r="M47" s="203" t="s">
        <v>327</v>
      </c>
      <c r="N47" s="168" t="s">
        <v>206</v>
      </c>
      <c r="O47" s="167">
        <v>12080</v>
      </c>
      <c r="P47" s="167">
        <v>44.8</v>
      </c>
      <c r="Q47" s="167">
        <v>0.38741789819376027</v>
      </c>
      <c r="R47" s="165">
        <v>713.2</v>
      </c>
      <c r="S47" s="130"/>
      <c r="T47" s="132"/>
      <c r="U47" s="204" t="s">
        <v>325</v>
      </c>
      <c r="V47" s="170" t="s">
        <v>325</v>
      </c>
      <c r="W47" s="130"/>
      <c r="X47" s="165">
        <v>0</v>
      </c>
    </row>
    <row r="48" spans="1:24" s="31" customFormat="1" ht="20" customHeight="1">
      <c r="A48" s="161">
        <v>2703112003</v>
      </c>
      <c r="B48" s="162" t="s">
        <v>109</v>
      </c>
      <c r="C48" s="163" t="s">
        <v>207</v>
      </c>
      <c r="D48" s="170" t="s">
        <v>325</v>
      </c>
      <c r="E48" s="163" t="s">
        <v>332</v>
      </c>
      <c r="F48" s="170" t="s">
        <v>325</v>
      </c>
      <c r="G48" s="165">
        <v>205.61</v>
      </c>
      <c r="H48" s="165">
        <v>102.45</v>
      </c>
      <c r="I48" s="165">
        <v>103.16</v>
      </c>
      <c r="J48" s="201">
        <v>41346</v>
      </c>
      <c r="K48" s="201">
        <v>41341</v>
      </c>
      <c r="L48" s="202">
        <v>29</v>
      </c>
      <c r="M48" s="203" t="s">
        <v>327</v>
      </c>
      <c r="N48" s="168" t="s">
        <v>208</v>
      </c>
      <c r="O48" s="167">
        <v>971</v>
      </c>
      <c r="P48" s="167">
        <v>3.4</v>
      </c>
      <c r="Q48" s="167">
        <v>0.41032792427315756</v>
      </c>
      <c r="R48" s="165">
        <v>103.16</v>
      </c>
      <c r="S48" s="130"/>
      <c r="T48" s="132"/>
      <c r="U48" s="204" t="s">
        <v>325</v>
      </c>
      <c r="V48" s="170" t="s">
        <v>325</v>
      </c>
      <c r="W48" s="130"/>
      <c r="X48" s="165">
        <v>0</v>
      </c>
    </row>
    <row r="49" spans="1:24" s="31" customFormat="1" ht="20" customHeight="1">
      <c r="A49" s="161">
        <v>2773821106</v>
      </c>
      <c r="B49" s="162" t="s">
        <v>109</v>
      </c>
      <c r="C49" s="163" t="s">
        <v>209</v>
      </c>
      <c r="D49" s="170" t="s">
        <v>325</v>
      </c>
      <c r="E49" s="163" t="s">
        <v>255</v>
      </c>
      <c r="F49" s="170" t="s">
        <v>325</v>
      </c>
      <c r="G49" s="165">
        <v>42.04</v>
      </c>
      <c r="H49" s="165">
        <v>21.02</v>
      </c>
      <c r="I49" s="165">
        <v>21.02</v>
      </c>
      <c r="J49" s="201">
        <v>41353</v>
      </c>
      <c r="K49" s="201">
        <v>41348</v>
      </c>
      <c r="L49" s="202">
        <v>29</v>
      </c>
      <c r="M49" s="203" t="s">
        <v>327</v>
      </c>
      <c r="N49" s="168" t="s">
        <v>210</v>
      </c>
      <c r="O49" s="167">
        <v>0</v>
      </c>
      <c r="P49" s="130"/>
      <c r="Q49" s="130"/>
      <c r="R49" s="165">
        <v>21.02</v>
      </c>
      <c r="S49" s="130"/>
      <c r="T49" s="132"/>
      <c r="U49" s="204" t="s">
        <v>325</v>
      </c>
      <c r="V49" s="170" t="s">
        <v>325</v>
      </c>
      <c r="W49" s="130"/>
      <c r="X49" s="165">
        <v>0</v>
      </c>
    </row>
    <row r="50" spans="1:24" s="31" customFormat="1" ht="20" customHeight="1">
      <c r="A50" s="161">
        <v>2856106004</v>
      </c>
      <c r="B50" s="162" t="s">
        <v>109</v>
      </c>
      <c r="C50" s="163" t="s">
        <v>211</v>
      </c>
      <c r="D50" s="170" t="s">
        <v>325</v>
      </c>
      <c r="E50" s="170" t="s">
        <v>325</v>
      </c>
      <c r="F50" s="163" t="s">
        <v>335</v>
      </c>
      <c r="G50" s="165">
        <v>61.83</v>
      </c>
      <c r="H50" s="165">
        <v>29.93</v>
      </c>
      <c r="I50" s="165">
        <v>31.9</v>
      </c>
      <c r="J50" s="201">
        <v>41346</v>
      </c>
      <c r="K50" s="132"/>
      <c r="L50" s="186"/>
      <c r="M50" s="204" t="s">
        <v>325</v>
      </c>
      <c r="N50" s="205" t="s">
        <v>325</v>
      </c>
      <c r="O50" s="130"/>
      <c r="P50" s="130"/>
      <c r="Q50" s="130"/>
      <c r="R50" s="165">
        <v>0</v>
      </c>
      <c r="S50" s="166">
        <v>41341</v>
      </c>
      <c r="T50" s="168">
        <v>29</v>
      </c>
      <c r="U50" s="203" t="s">
        <v>327</v>
      </c>
      <c r="V50" s="163" t="s">
        <v>212</v>
      </c>
      <c r="W50" s="167">
        <v>24</v>
      </c>
      <c r="X50" s="165">
        <v>31.9</v>
      </c>
    </row>
    <row r="51" spans="1:24" s="31" customFormat="1" ht="20" customHeight="1">
      <c r="A51" s="161">
        <v>2860127100</v>
      </c>
      <c r="B51" s="162" t="s">
        <v>109</v>
      </c>
      <c r="C51" s="163" t="s">
        <v>213</v>
      </c>
      <c r="D51" s="170" t="s">
        <v>325</v>
      </c>
      <c r="E51" s="163" t="s">
        <v>201</v>
      </c>
      <c r="F51" s="170" t="s">
        <v>325</v>
      </c>
      <c r="G51" s="165">
        <v>107.22</v>
      </c>
      <c r="H51" s="165">
        <v>53.76</v>
      </c>
      <c r="I51" s="165">
        <v>53.46</v>
      </c>
      <c r="J51" s="201">
        <v>41334</v>
      </c>
      <c r="K51" s="201">
        <v>41334</v>
      </c>
      <c r="L51" s="202">
        <v>29</v>
      </c>
      <c r="M51" s="203" t="s">
        <v>327</v>
      </c>
      <c r="N51" s="205" t="s">
        <v>325</v>
      </c>
      <c r="O51" s="167">
        <v>312</v>
      </c>
      <c r="P51" s="130"/>
      <c r="Q51" s="130"/>
      <c r="R51" s="165">
        <v>53.46</v>
      </c>
      <c r="S51" s="130"/>
      <c r="T51" s="132"/>
      <c r="U51" s="204" t="s">
        <v>325</v>
      </c>
      <c r="V51" s="170" t="s">
        <v>325</v>
      </c>
      <c r="W51" s="130"/>
      <c r="X51" s="165">
        <v>0</v>
      </c>
    </row>
    <row r="52" spans="1:24" s="31" customFormat="1" ht="20" customHeight="1">
      <c r="A52" s="161">
        <v>3040127109</v>
      </c>
      <c r="B52" s="162" t="s">
        <v>109</v>
      </c>
      <c r="C52" s="163" t="s">
        <v>214</v>
      </c>
      <c r="D52" s="170" t="s">
        <v>325</v>
      </c>
      <c r="E52" s="163" t="s">
        <v>201</v>
      </c>
      <c r="F52" s="170" t="s">
        <v>325</v>
      </c>
      <c r="G52" s="165">
        <v>110.85</v>
      </c>
      <c r="H52" s="165">
        <v>55.58</v>
      </c>
      <c r="I52" s="165">
        <v>55.27</v>
      </c>
      <c r="J52" s="201">
        <v>41334</v>
      </c>
      <c r="K52" s="201">
        <v>41334</v>
      </c>
      <c r="L52" s="202">
        <v>29</v>
      </c>
      <c r="M52" s="203" t="s">
        <v>327</v>
      </c>
      <c r="N52" s="205" t="s">
        <v>325</v>
      </c>
      <c r="O52" s="167">
        <v>326</v>
      </c>
      <c r="P52" s="130"/>
      <c r="Q52" s="130"/>
      <c r="R52" s="165">
        <v>55.27</v>
      </c>
      <c r="S52" s="130"/>
      <c r="T52" s="132"/>
      <c r="U52" s="204" t="s">
        <v>325</v>
      </c>
      <c r="V52" s="170" t="s">
        <v>325</v>
      </c>
      <c r="W52" s="130"/>
      <c r="X52" s="165">
        <v>0</v>
      </c>
    </row>
    <row r="53" spans="1:24" s="31" customFormat="1" ht="20" customHeight="1">
      <c r="A53" s="161">
        <v>3128810107</v>
      </c>
      <c r="B53" s="162" t="s">
        <v>109</v>
      </c>
      <c r="C53" s="163" t="s">
        <v>215</v>
      </c>
      <c r="D53" s="170" t="s">
        <v>325</v>
      </c>
      <c r="E53" s="163" t="s">
        <v>326</v>
      </c>
      <c r="F53" s="163" t="s">
        <v>325</v>
      </c>
      <c r="G53" s="165">
        <v>42.74</v>
      </c>
      <c r="H53" s="165">
        <v>21.34</v>
      </c>
      <c r="I53" s="165">
        <v>21.4</v>
      </c>
      <c r="J53" s="201">
        <v>41346</v>
      </c>
      <c r="K53" s="201">
        <v>41341</v>
      </c>
      <c r="L53" s="202">
        <v>29</v>
      </c>
      <c r="M53" s="203" t="s">
        <v>327</v>
      </c>
      <c r="N53" s="168" t="s">
        <v>216</v>
      </c>
      <c r="O53" s="167">
        <v>5</v>
      </c>
      <c r="P53" s="130"/>
      <c r="Q53" s="130"/>
      <c r="R53" s="165">
        <v>21.4</v>
      </c>
      <c r="S53" s="130"/>
      <c r="T53" s="132"/>
      <c r="U53" s="203" t="s">
        <v>325</v>
      </c>
      <c r="V53" s="163" t="s">
        <v>325</v>
      </c>
      <c r="W53" s="130"/>
      <c r="X53" s="165">
        <v>0</v>
      </c>
    </row>
    <row r="54" spans="1:24" s="31" customFormat="1" ht="20" customHeight="1">
      <c r="A54" s="161">
        <v>3195056004</v>
      </c>
      <c r="B54" s="162" t="s">
        <v>109</v>
      </c>
      <c r="C54" s="163" t="s">
        <v>217</v>
      </c>
      <c r="D54" s="163" t="s">
        <v>325</v>
      </c>
      <c r="E54" s="163" t="s">
        <v>326</v>
      </c>
      <c r="F54" s="163" t="s">
        <v>325</v>
      </c>
      <c r="G54" s="165">
        <v>44.03</v>
      </c>
      <c r="H54" s="165">
        <v>22.07</v>
      </c>
      <c r="I54" s="165">
        <v>21.96</v>
      </c>
      <c r="J54" s="201">
        <v>41353</v>
      </c>
      <c r="K54" s="201">
        <v>41348</v>
      </c>
      <c r="L54" s="202">
        <v>29</v>
      </c>
      <c r="M54" s="203" t="s">
        <v>327</v>
      </c>
      <c r="N54" s="168" t="s">
        <v>218</v>
      </c>
      <c r="O54" s="167">
        <v>13</v>
      </c>
      <c r="P54" s="130"/>
      <c r="Q54" s="130"/>
      <c r="R54" s="165">
        <v>21.96</v>
      </c>
      <c r="S54" s="130"/>
      <c r="T54" s="132"/>
      <c r="U54" s="203" t="s">
        <v>325</v>
      </c>
      <c r="V54" s="163" t="s">
        <v>325</v>
      </c>
      <c r="W54" s="130"/>
      <c r="X54" s="165">
        <v>0</v>
      </c>
    </row>
    <row r="55" spans="1:24" s="31" customFormat="1" ht="20" customHeight="1">
      <c r="A55" s="161">
        <v>3273812135</v>
      </c>
      <c r="B55" s="162" t="s">
        <v>109</v>
      </c>
      <c r="C55" s="163" t="s">
        <v>219</v>
      </c>
      <c r="D55" s="163" t="s">
        <v>325</v>
      </c>
      <c r="E55" s="163" t="s">
        <v>326</v>
      </c>
      <c r="F55" s="163" t="s">
        <v>277</v>
      </c>
      <c r="G55" s="165">
        <v>347.73</v>
      </c>
      <c r="H55" s="165">
        <v>148.97</v>
      </c>
      <c r="I55" s="165">
        <v>198.76</v>
      </c>
      <c r="J55" s="201">
        <v>41353</v>
      </c>
      <c r="K55" s="201">
        <v>41352</v>
      </c>
      <c r="L55" s="202">
        <v>32</v>
      </c>
      <c r="M55" s="203" t="s">
        <v>327</v>
      </c>
      <c r="N55" s="168" t="s">
        <v>220</v>
      </c>
      <c r="O55" s="167">
        <v>2053</v>
      </c>
      <c r="P55" s="130"/>
      <c r="Q55" s="130"/>
      <c r="R55" s="165">
        <v>173.24</v>
      </c>
      <c r="S55" s="166">
        <v>41348</v>
      </c>
      <c r="T55" s="168">
        <v>29</v>
      </c>
      <c r="U55" s="203" t="s">
        <v>327</v>
      </c>
      <c r="V55" s="163" t="s">
        <v>221</v>
      </c>
      <c r="W55" s="167">
        <v>3</v>
      </c>
      <c r="X55" s="165">
        <v>25.52</v>
      </c>
    </row>
    <row r="56" spans="1:24" s="31" customFormat="1" ht="20" customHeight="1">
      <c r="A56" s="161">
        <v>3293820115</v>
      </c>
      <c r="B56" s="162" t="s">
        <v>109</v>
      </c>
      <c r="C56" s="163" t="s">
        <v>222</v>
      </c>
      <c r="D56" s="163" t="s">
        <v>325</v>
      </c>
      <c r="E56" s="163" t="s">
        <v>325</v>
      </c>
      <c r="F56" s="163" t="s">
        <v>335</v>
      </c>
      <c r="G56" s="165">
        <v>114.5</v>
      </c>
      <c r="H56" s="165">
        <v>44.01</v>
      </c>
      <c r="I56" s="165">
        <v>70.489999999999995</v>
      </c>
      <c r="J56" s="201">
        <v>41353</v>
      </c>
      <c r="K56" s="132"/>
      <c r="L56" s="186"/>
      <c r="M56" s="203" t="s">
        <v>325</v>
      </c>
      <c r="N56" s="168" t="s">
        <v>325</v>
      </c>
      <c r="O56" s="130"/>
      <c r="P56" s="130"/>
      <c r="Q56" s="130"/>
      <c r="R56" s="165">
        <v>0</v>
      </c>
      <c r="S56" s="166">
        <v>41348</v>
      </c>
      <c r="T56" s="168">
        <v>29</v>
      </c>
      <c r="U56" s="203" t="s">
        <v>327</v>
      </c>
      <c r="V56" s="163" t="s">
        <v>223</v>
      </c>
      <c r="W56" s="167">
        <v>124</v>
      </c>
      <c r="X56" s="165">
        <v>70.489999999999995</v>
      </c>
    </row>
    <row r="57" spans="1:24" s="31" customFormat="1" ht="20" customHeight="1">
      <c r="A57" s="161">
        <v>3448808118</v>
      </c>
      <c r="B57" s="162" t="s">
        <v>109</v>
      </c>
      <c r="C57" s="163" t="s">
        <v>224</v>
      </c>
      <c r="D57" s="163" t="s">
        <v>325</v>
      </c>
      <c r="E57" s="163" t="s">
        <v>326</v>
      </c>
      <c r="F57" s="163" t="s">
        <v>325</v>
      </c>
      <c r="G57" s="165">
        <v>155.78</v>
      </c>
      <c r="H57" s="165">
        <v>74.459999999999994</v>
      </c>
      <c r="I57" s="165">
        <v>81.319999999999993</v>
      </c>
      <c r="J57" s="201">
        <v>41346</v>
      </c>
      <c r="K57" s="201">
        <v>41345</v>
      </c>
      <c r="L57" s="202">
        <v>29</v>
      </c>
      <c r="M57" s="203" t="s">
        <v>327</v>
      </c>
      <c r="N57" s="168" t="s">
        <v>225</v>
      </c>
      <c r="O57" s="167">
        <v>813</v>
      </c>
      <c r="P57" s="130"/>
      <c r="Q57" s="130"/>
      <c r="R57" s="165">
        <v>81.319999999999993</v>
      </c>
      <c r="S57" s="130"/>
      <c r="T57" s="132"/>
      <c r="U57" s="203" t="s">
        <v>325</v>
      </c>
      <c r="V57" s="163" t="s">
        <v>325</v>
      </c>
      <c r="W57" s="130"/>
      <c r="X57" s="165">
        <v>0</v>
      </c>
    </row>
    <row r="58" spans="1:24" s="31" customFormat="1" ht="20" customHeight="1">
      <c r="A58" s="161">
        <v>3632395006</v>
      </c>
      <c r="B58" s="162" t="s">
        <v>109</v>
      </c>
      <c r="C58" s="163" t="s">
        <v>226</v>
      </c>
      <c r="D58" s="163" t="s">
        <v>325</v>
      </c>
      <c r="E58" s="163" t="s">
        <v>326</v>
      </c>
      <c r="F58" s="163" t="s">
        <v>325</v>
      </c>
      <c r="G58" s="165">
        <v>42.99</v>
      </c>
      <c r="H58" s="165">
        <v>21.3</v>
      </c>
      <c r="I58" s="165">
        <v>21.69</v>
      </c>
      <c r="J58" s="201">
        <v>41346</v>
      </c>
      <c r="K58" s="201">
        <v>41341</v>
      </c>
      <c r="L58" s="202">
        <v>29</v>
      </c>
      <c r="M58" s="203" t="s">
        <v>327</v>
      </c>
      <c r="N58" s="168" t="s">
        <v>227</v>
      </c>
      <c r="O58" s="167">
        <v>9</v>
      </c>
      <c r="P58" s="130"/>
      <c r="Q58" s="130"/>
      <c r="R58" s="165">
        <v>21.69</v>
      </c>
      <c r="S58" s="130"/>
      <c r="T58" s="132"/>
      <c r="U58" s="203" t="s">
        <v>325</v>
      </c>
      <c r="V58" s="163" t="s">
        <v>325</v>
      </c>
      <c r="W58" s="130"/>
      <c r="X58" s="165">
        <v>0</v>
      </c>
    </row>
    <row r="59" spans="1:24" s="31" customFormat="1" ht="20" customHeight="1">
      <c r="A59" s="161">
        <v>3753663109</v>
      </c>
      <c r="B59" s="162" t="s">
        <v>109</v>
      </c>
      <c r="C59" s="163" t="s">
        <v>228</v>
      </c>
      <c r="D59" s="163" t="s">
        <v>325</v>
      </c>
      <c r="E59" s="163" t="s">
        <v>330</v>
      </c>
      <c r="F59" s="163" t="s">
        <v>325</v>
      </c>
      <c r="G59" s="165">
        <v>401</v>
      </c>
      <c r="H59" s="165">
        <v>200.54</v>
      </c>
      <c r="I59" s="165">
        <v>200.46</v>
      </c>
      <c r="J59" s="201">
        <v>41353</v>
      </c>
      <c r="K59" s="201">
        <v>41353</v>
      </c>
      <c r="L59" s="202">
        <v>28</v>
      </c>
      <c r="M59" s="203" t="s">
        <v>327</v>
      </c>
      <c r="N59" s="168" t="s">
        <v>325</v>
      </c>
      <c r="O59" s="167">
        <v>175</v>
      </c>
      <c r="P59" s="130"/>
      <c r="Q59" s="130"/>
      <c r="R59" s="165">
        <v>200.46</v>
      </c>
      <c r="S59" s="130"/>
      <c r="T59" s="132"/>
      <c r="U59" s="203" t="s">
        <v>325</v>
      </c>
      <c r="V59" s="163" t="s">
        <v>325</v>
      </c>
      <c r="W59" s="130"/>
      <c r="X59" s="165">
        <v>0</v>
      </c>
    </row>
    <row r="60" spans="1:24" s="31" customFormat="1" ht="20" customHeight="1">
      <c r="A60" s="161">
        <v>3798043001</v>
      </c>
      <c r="B60" s="162" t="s">
        <v>109</v>
      </c>
      <c r="C60" s="163" t="s">
        <v>229</v>
      </c>
      <c r="D60" s="163" t="s">
        <v>325</v>
      </c>
      <c r="E60" s="163" t="s">
        <v>255</v>
      </c>
      <c r="F60" s="163" t="s">
        <v>325</v>
      </c>
      <c r="G60" s="165">
        <v>65.16</v>
      </c>
      <c r="H60" s="165">
        <v>42.7</v>
      </c>
      <c r="I60" s="165">
        <v>22.46</v>
      </c>
      <c r="J60" s="201">
        <v>41326</v>
      </c>
      <c r="K60" s="201">
        <v>41320</v>
      </c>
      <c r="L60" s="202">
        <v>29</v>
      </c>
      <c r="M60" s="203" t="s">
        <v>327</v>
      </c>
      <c r="N60" s="168" t="s">
        <v>230</v>
      </c>
      <c r="O60" s="167">
        <v>9</v>
      </c>
      <c r="P60" s="130"/>
      <c r="Q60" s="130"/>
      <c r="R60" s="165">
        <v>22.46</v>
      </c>
      <c r="S60" s="130"/>
      <c r="T60" s="132"/>
      <c r="U60" s="203" t="s">
        <v>325</v>
      </c>
      <c r="V60" s="163" t="s">
        <v>325</v>
      </c>
      <c r="W60" s="130"/>
      <c r="X60" s="165">
        <v>0</v>
      </c>
    </row>
    <row r="61" spans="1:24" s="31" customFormat="1" ht="20" customHeight="1">
      <c r="A61" s="161">
        <v>3908811104</v>
      </c>
      <c r="B61" s="162" t="s">
        <v>109</v>
      </c>
      <c r="C61" s="163" t="s">
        <v>231</v>
      </c>
      <c r="D61" s="163" t="s">
        <v>325</v>
      </c>
      <c r="E61" s="163" t="s">
        <v>326</v>
      </c>
      <c r="F61" s="163" t="s">
        <v>325</v>
      </c>
      <c r="G61" s="165">
        <v>89.79</v>
      </c>
      <c r="H61" s="165">
        <v>44.9</v>
      </c>
      <c r="I61" s="165">
        <v>44.89</v>
      </c>
      <c r="J61" s="201">
        <v>41346</v>
      </c>
      <c r="K61" s="201">
        <v>41342</v>
      </c>
      <c r="L61" s="202">
        <v>29</v>
      </c>
      <c r="M61" s="203" t="s">
        <v>327</v>
      </c>
      <c r="N61" s="168" t="s">
        <v>232</v>
      </c>
      <c r="O61" s="167">
        <v>322</v>
      </c>
      <c r="P61" s="130"/>
      <c r="Q61" s="130"/>
      <c r="R61" s="165">
        <v>44.89</v>
      </c>
      <c r="S61" s="130"/>
      <c r="T61" s="132"/>
      <c r="U61" s="203" t="s">
        <v>325</v>
      </c>
      <c r="V61" s="163" t="s">
        <v>325</v>
      </c>
      <c r="W61" s="130"/>
      <c r="X61" s="165">
        <v>0</v>
      </c>
    </row>
    <row r="62" spans="1:24" s="31" customFormat="1" ht="20" customHeight="1">
      <c r="A62" s="161">
        <v>4153807100</v>
      </c>
      <c r="B62" s="162" t="s">
        <v>109</v>
      </c>
      <c r="C62" s="163" t="s">
        <v>233</v>
      </c>
      <c r="D62" s="163" t="s">
        <v>325</v>
      </c>
      <c r="E62" s="163" t="s">
        <v>326</v>
      </c>
      <c r="F62" s="163" t="s">
        <v>277</v>
      </c>
      <c r="G62" s="165">
        <v>1539.66</v>
      </c>
      <c r="H62" s="165">
        <v>912.26</v>
      </c>
      <c r="I62" s="165">
        <v>627.4</v>
      </c>
      <c r="J62" s="201">
        <v>41353</v>
      </c>
      <c r="K62" s="201">
        <v>41348</v>
      </c>
      <c r="L62" s="202">
        <v>29</v>
      </c>
      <c r="M62" s="203" t="s">
        <v>327</v>
      </c>
      <c r="N62" s="168" t="s">
        <v>234</v>
      </c>
      <c r="O62" s="167">
        <v>460</v>
      </c>
      <c r="P62" s="130"/>
      <c r="Q62" s="130"/>
      <c r="R62" s="165">
        <v>55.14</v>
      </c>
      <c r="S62" s="166">
        <v>41348</v>
      </c>
      <c r="T62" s="168">
        <v>29</v>
      </c>
      <c r="U62" s="203" t="s">
        <v>327</v>
      </c>
      <c r="V62" s="163" t="s">
        <v>235</v>
      </c>
      <c r="W62" s="167">
        <v>628</v>
      </c>
      <c r="X62" s="165">
        <v>572.26</v>
      </c>
    </row>
    <row r="63" spans="1:24" s="31" customFormat="1" ht="20" customHeight="1">
      <c r="A63" s="161">
        <v>4153820112</v>
      </c>
      <c r="B63" s="162" t="s">
        <v>109</v>
      </c>
      <c r="C63" s="163" t="s">
        <v>147</v>
      </c>
      <c r="D63" s="170" t="s">
        <v>325</v>
      </c>
      <c r="E63" s="163" t="s">
        <v>332</v>
      </c>
      <c r="F63" s="170" t="s">
        <v>325</v>
      </c>
      <c r="G63" s="165">
        <v>175.77</v>
      </c>
      <c r="H63" s="165">
        <v>85.28</v>
      </c>
      <c r="I63" s="165">
        <v>90.49</v>
      </c>
      <c r="J63" s="201">
        <v>41353</v>
      </c>
      <c r="K63" s="201">
        <v>41352</v>
      </c>
      <c r="L63" s="202">
        <v>32</v>
      </c>
      <c r="M63" s="203" t="s">
        <v>327</v>
      </c>
      <c r="N63" s="168" t="s">
        <v>148</v>
      </c>
      <c r="O63" s="167">
        <v>526</v>
      </c>
      <c r="P63" s="167">
        <v>2.7</v>
      </c>
      <c r="Q63" s="167">
        <v>0.25366512345679015</v>
      </c>
      <c r="R63" s="165">
        <v>90.49</v>
      </c>
      <c r="S63" s="130"/>
      <c r="T63" s="132"/>
      <c r="U63" s="204" t="s">
        <v>325</v>
      </c>
      <c r="V63" s="170" t="s">
        <v>325</v>
      </c>
      <c r="W63" s="130"/>
      <c r="X63" s="165">
        <v>0</v>
      </c>
    </row>
    <row r="64" spans="1:24" s="31" customFormat="1" ht="20" customHeight="1">
      <c r="A64" s="161">
        <v>4308810115</v>
      </c>
      <c r="B64" s="162" t="s">
        <v>109</v>
      </c>
      <c r="C64" s="163" t="s">
        <v>149</v>
      </c>
      <c r="D64" s="170" t="s">
        <v>325</v>
      </c>
      <c r="E64" s="163" t="s">
        <v>326</v>
      </c>
      <c r="F64" s="170" t="s">
        <v>325</v>
      </c>
      <c r="G64" s="165">
        <v>181.25</v>
      </c>
      <c r="H64" s="165">
        <v>82.61</v>
      </c>
      <c r="I64" s="165">
        <v>98.64</v>
      </c>
      <c r="J64" s="201">
        <v>41346</v>
      </c>
      <c r="K64" s="201">
        <v>41345</v>
      </c>
      <c r="L64" s="202">
        <v>29</v>
      </c>
      <c r="M64" s="203" t="s">
        <v>327</v>
      </c>
      <c r="N64" s="168" t="s">
        <v>150</v>
      </c>
      <c r="O64" s="167">
        <v>1149</v>
      </c>
      <c r="P64" s="167">
        <v>2.9</v>
      </c>
      <c r="Q64" s="167">
        <v>0.56926278240190253</v>
      </c>
      <c r="R64" s="165">
        <v>98.64</v>
      </c>
      <c r="S64" s="130"/>
      <c r="T64" s="132"/>
      <c r="U64" s="204" t="s">
        <v>325</v>
      </c>
      <c r="V64" s="170" t="s">
        <v>325</v>
      </c>
      <c r="W64" s="130"/>
      <c r="X64" s="165">
        <v>0</v>
      </c>
    </row>
    <row r="65" spans="1:24" s="31" customFormat="1" ht="20" customHeight="1">
      <c r="A65" s="161">
        <v>4399122004</v>
      </c>
      <c r="B65" s="162" t="s">
        <v>109</v>
      </c>
      <c r="C65" s="163" t="s">
        <v>151</v>
      </c>
      <c r="D65" s="170" t="s">
        <v>325</v>
      </c>
      <c r="E65" s="170" t="s">
        <v>325</v>
      </c>
      <c r="F65" s="163" t="s">
        <v>335</v>
      </c>
      <c r="G65" s="165">
        <v>136.63999999999999</v>
      </c>
      <c r="H65" s="165">
        <v>70.400000000000006</v>
      </c>
      <c r="I65" s="165">
        <v>66.239999999999995</v>
      </c>
      <c r="J65" s="201">
        <v>41353</v>
      </c>
      <c r="K65" s="132"/>
      <c r="L65" s="186"/>
      <c r="M65" s="204" t="s">
        <v>325</v>
      </c>
      <c r="N65" s="205" t="s">
        <v>325</v>
      </c>
      <c r="O65" s="130"/>
      <c r="P65" s="130"/>
      <c r="Q65" s="130"/>
      <c r="R65" s="165">
        <v>0</v>
      </c>
      <c r="S65" s="166">
        <v>41348</v>
      </c>
      <c r="T65" s="168">
        <v>29</v>
      </c>
      <c r="U65" s="203" t="s">
        <v>327</v>
      </c>
      <c r="V65" s="163" t="s">
        <v>152</v>
      </c>
      <c r="W65" s="167">
        <v>113</v>
      </c>
      <c r="X65" s="165">
        <v>66.239999999999995</v>
      </c>
    </row>
    <row r="66" spans="1:24" s="31" customFormat="1" ht="20" customHeight="1">
      <c r="A66" s="161">
        <v>4513814101</v>
      </c>
      <c r="B66" s="162" t="s">
        <v>109</v>
      </c>
      <c r="C66" s="163" t="s">
        <v>153</v>
      </c>
      <c r="D66" s="170" t="s">
        <v>325</v>
      </c>
      <c r="E66" s="163" t="s">
        <v>332</v>
      </c>
      <c r="F66" s="163" t="s">
        <v>277</v>
      </c>
      <c r="G66" s="165">
        <v>886.11</v>
      </c>
      <c r="H66" s="165">
        <v>476.52</v>
      </c>
      <c r="I66" s="165">
        <v>409.59</v>
      </c>
      <c r="J66" s="201">
        <v>41353</v>
      </c>
      <c r="K66" s="201">
        <v>41352</v>
      </c>
      <c r="L66" s="202">
        <v>32</v>
      </c>
      <c r="M66" s="203" t="s">
        <v>327</v>
      </c>
      <c r="N66" s="168" t="s">
        <v>154</v>
      </c>
      <c r="O66" s="167">
        <v>2164</v>
      </c>
      <c r="P66" s="167">
        <v>7.8</v>
      </c>
      <c r="Q66" s="167">
        <v>0.36124465811965817</v>
      </c>
      <c r="R66" s="165">
        <v>168.11</v>
      </c>
      <c r="S66" s="166">
        <v>41348</v>
      </c>
      <c r="T66" s="168">
        <v>29</v>
      </c>
      <c r="U66" s="203" t="s">
        <v>327</v>
      </c>
      <c r="V66" s="163" t="s">
        <v>155</v>
      </c>
      <c r="W66" s="167">
        <v>229</v>
      </c>
      <c r="X66" s="165">
        <v>241.48</v>
      </c>
    </row>
    <row r="67" spans="1:24" s="31" customFormat="1" ht="20" customHeight="1">
      <c r="A67" s="161">
        <v>4533881110</v>
      </c>
      <c r="B67" s="162" t="s">
        <v>109</v>
      </c>
      <c r="C67" s="163" t="s">
        <v>156</v>
      </c>
      <c r="D67" s="163" t="s">
        <v>157</v>
      </c>
      <c r="E67" s="163" t="s">
        <v>158</v>
      </c>
      <c r="F67" s="170" t="s">
        <v>325</v>
      </c>
      <c r="G67" s="165">
        <v>52.14</v>
      </c>
      <c r="H67" s="165">
        <v>25.43</v>
      </c>
      <c r="I67" s="165">
        <v>26.71</v>
      </c>
      <c r="J67" s="201">
        <v>41353</v>
      </c>
      <c r="K67" s="201">
        <v>41353</v>
      </c>
      <c r="L67" s="202">
        <v>28</v>
      </c>
      <c r="M67" s="203" t="s">
        <v>327</v>
      </c>
      <c r="N67" s="205" t="s">
        <v>325</v>
      </c>
      <c r="O67" s="167">
        <v>153</v>
      </c>
      <c r="P67" s="130"/>
      <c r="Q67" s="130"/>
      <c r="R67" s="165">
        <v>26.71</v>
      </c>
      <c r="S67" s="130"/>
      <c r="T67" s="132"/>
      <c r="U67" s="204" t="s">
        <v>325</v>
      </c>
      <c r="V67" s="170" t="s">
        <v>325</v>
      </c>
      <c r="W67" s="130"/>
      <c r="X67" s="165">
        <v>0</v>
      </c>
    </row>
    <row r="68" spans="1:24" s="31" customFormat="1" ht="20" customHeight="1">
      <c r="A68" s="161">
        <v>4568811105</v>
      </c>
      <c r="B68" s="162" t="s">
        <v>109</v>
      </c>
      <c r="C68" s="163" t="s">
        <v>159</v>
      </c>
      <c r="D68" s="170" t="s">
        <v>325</v>
      </c>
      <c r="E68" s="163" t="s">
        <v>326</v>
      </c>
      <c r="F68" s="170" t="s">
        <v>325</v>
      </c>
      <c r="G68" s="165">
        <v>138.01</v>
      </c>
      <c r="H68" s="165">
        <v>68.63</v>
      </c>
      <c r="I68" s="165">
        <v>69.38</v>
      </c>
      <c r="J68" s="201">
        <v>41346</v>
      </c>
      <c r="K68" s="201">
        <v>41342</v>
      </c>
      <c r="L68" s="202">
        <v>29</v>
      </c>
      <c r="M68" s="203" t="s">
        <v>327</v>
      </c>
      <c r="N68" s="168" t="s">
        <v>160</v>
      </c>
      <c r="O68" s="167">
        <v>652</v>
      </c>
      <c r="P68" s="130"/>
      <c r="Q68" s="130"/>
      <c r="R68" s="165">
        <v>69.38</v>
      </c>
      <c r="S68" s="130"/>
      <c r="T68" s="132"/>
      <c r="U68" s="204" t="s">
        <v>325</v>
      </c>
      <c r="V68" s="170" t="s">
        <v>325</v>
      </c>
      <c r="W68" s="130"/>
      <c r="X68" s="165">
        <v>0</v>
      </c>
    </row>
    <row r="69" spans="1:24" s="31" customFormat="1" ht="20" customHeight="1">
      <c r="A69" s="161">
        <v>4588811101</v>
      </c>
      <c r="B69" s="162" t="s">
        <v>109</v>
      </c>
      <c r="C69" s="163" t="s">
        <v>159</v>
      </c>
      <c r="D69" s="170" t="s">
        <v>325</v>
      </c>
      <c r="E69" s="163" t="s">
        <v>326</v>
      </c>
      <c r="F69" s="170" t="s">
        <v>325</v>
      </c>
      <c r="G69" s="165">
        <v>45.08</v>
      </c>
      <c r="H69" s="165">
        <v>24.06</v>
      </c>
      <c r="I69" s="165">
        <v>21.02</v>
      </c>
      <c r="J69" s="201">
        <v>41346</v>
      </c>
      <c r="K69" s="201">
        <v>41345</v>
      </c>
      <c r="L69" s="202">
        <v>29</v>
      </c>
      <c r="M69" s="203" t="s">
        <v>327</v>
      </c>
      <c r="N69" s="168" t="s">
        <v>161</v>
      </c>
      <c r="O69" s="167">
        <v>0</v>
      </c>
      <c r="P69" s="130"/>
      <c r="Q69" s="130"/>
      <c r="R69" s="165">
        <v>21.02</v>
      </c>
      <c r="S69" s="130"/>
      <c r="T69" s="132"/>
      <c r="U69" s="204" t="s">
        <v>325</v>
      </c>
      <c r="V69" s="170" t="s">
        <v>325</v>
      </c>
      <c r="W69" s="130"/>
      <c r="X69" s="165">
        <v>0</v>
      </c>
    </row>
    <row r="70" spans="1:24" s="31" customFormat="1" ht="20" customHeight="1">
      <c r="A70" s="161">
        <v>4794009102</v>
      </c>
      <c r="B70" s="162" t="s">
        <v>109</v>
      </c>
      <c r="C70" s="163" t="s">
        <v>162</v>
      </c>
      <c r="D70" s="170" t="s">
        <v>325</v>
      </c>
      <c r="E70" s="163" t="s">
        <v>255</v>
      </c>
      <c r="F70" s="163" t="s">
        <v>163</v>
      </c>
      <c r="G70" s="165">
        <v>1196.32</v>
      </c>
      <c r="H70" s="165">
        <v>743.2</v>
      </c>
      <c r="I70" s="165">
        <v>453.12</v>
      </c>
      <c r="J70" s="201">
        <v>41326</v>
      </c>
      <c r="K70" s="201">
        <v>41320</v>
      </c>
      <c r="L70" s="202">
        <v>29</v>
      </c>
      <c r="M70" s="203" t="s">
        <v>327</v>
      </c>
      <c r="N70" s="168" t="s">
        <v>164</v>
      </c>
      <c r="O70" s="167">
        <v>2538</v>
      </c>
      <c r="P70" s="130"/>
      <c r="Q70" s="130"/>
      <c r="R70" s="165">
        <v>426.66</v>
      </c>
      <c r="S70" s="166">
        <v>41320</v>
      </c>
      <c r="T70" s="168">
        <v>29</v>
      </c>
      <c r="U70" s="203" t="s">
        <v>327</v>
      </c>
      <c r="V70" s="163" t="s">
        <v>165</v>
      </c>
      <c r="W70" s="167">
        <v>4</v>
      </c>
      <c r="X70" s="165">
        <v>26.46</v>
      </c>
    </row>
    <row r="71" spans="1:24" s="31" customFormat="1" ht="20" customHeight="1">
      <c r="A71" s="161">
        <v>5048811100</v>
      </c>
      <c r="B71" s="162" t="s">
        <v>109</v>
      </c>
      <c r="C71" s="163" t="s">
        <v>166</v>
      </c>
      <c r="D71" s="170" t="s">
        <v>325</v>
      </c>
      <c r="E71" s="163" t="s">
        <v>326</v>
      </c>
      <c r="F71" s="163" t="s">
        <v>325</v>
      </c>
      <c r="G71" s="165">
        <v>75.73</v>
      </c>
      <c r="H71" s="165">
        <v>38.159999999999997</v>
      </c>
      <c r="I71" s="165">
        <v>37.57</v>
      </c>
      <c r="J71" s="201">
        <v>41346</v>
      </c>
      <c r="K71" s="201">
        <v>41341</v>
      </c>
      <c r="L71" s="202">
        <v>29</v>
      </c>
      <c r="M71" s="203" t="s">
        <v>327</v>
      </c>
      <c r="N71" s="168" t="s">
        <v>167</v>
      </c>
      <c r="O71" s="167">
        <v>223</v>
      </c>
      <c r="P71" s="130"/>
      <c r="Q71" s="130"/>
      <c r="R71" s="165">
        <v>37.57</v>
      </c>
      <c r="S71" s="130"/>
      <c r="T71" s="132"/>
      <c r="U71" s="203" t="s">
        <v>325</v>
      </c>
      <c r="V71" s="163" t="s">
        <v>325</v>
      </c>
      <c r="W71" s="130"/>
      <c r="X71" s="165">
        <v>0</v>
      </c>
    </row>
    <row r="72" spans="1:24" s="31" customFormat="1" ht="20" customHeight="1">
      <c r="A72" s="161">
        <v>5293880104</v>
      </c>
      <c r="B72" s="162" t="s">
        <v>109</v>
      </c>
      <c r="C72" s="163" t="s">
        <v>168</v>
      </c>
      <c r="D72" s="163" t="s">
        <v>325</v>
      </c>
      <c r="E72" s="163" t="s">
        <v>330</v>
      </c>
      <c r="F72" s="163" t="s">
        <v>325</v>
      </c>
      <c r="G72" s="165">
        <v>20086.57</v>
      </c>
      <c r="H72" s="165">
        <v>9945.66</v>
      </c>
      <c r="I72" s="165">
        <v>10140.91</v>
      </c>
      <c r="J72" s="201">
        <v>41353</v>
      </c>
      <c r="K72" s="201">
        <v>41353</v>
      </c>
      <c r="L72" s="202">
        <v>28</v>
      </c>
      <c r="M72" s="203" t="s">
        <v>327</v>
      </c>
      <c r="N72" s="168" t="s">
        <v>325</v>
      </c>
      <c r="O72" s="167">
        <v>31943</v>
      </c>
      <c r="P72" s="130"/>
      <c r="Q72" s="130"/>
      <c r="R72" s="165">
        <v>10144.39</v>
      </c>
      <c r="S72" s="130"/>
      <c r="T72" s="132"/>
      <c r="U72" s="203" t="s">
        <v>325</v>
      </c>
      <c r="V72" s="163" t="s">
        <v>325</v>
      </c>
      <c r="W72" s="130"/>
      <c r="X72" s="165">
        <v>0</v>
      </c>
    </row>
    <row r="73" spans="1:24" s="31" customFormat="1" ht="20" customHeight="1">
      <c r="A73" s="161">
        <v>5333812119</v>
      </c>
      <c r="B73" s="162" t="s">
        <v>109</v>
      </c>
      <c r="C73" s="163" t="s">
        <v>169</v>
      </c>
      <c r="D73" s="163" t="s">
        <v>325</v>
      </c>
      <c r="E73" s="163" t="s">
        <v>326</v>
      </c>
      <c r="F73" s="163" t="s">
        <v>325</v>
      </c>
      <c r="G73" s="165">
        <v>97.48</v>
      </c>
      <c r="H73" s="165">
        <v>50.94</v>
      </c>
      <c r="I73" s="165">
        <v>46.54</v>
      </c>
      <c r="J73" s="201">
        <v>41353</v>
      </c>
      <c r="K73" s="201">
        <v>41348</v>
      </c>
      <c r="L73" s="202">
        <v>29</v>
      </c>
      <c r="M73" s="203" t="s">
        <v>327</v>
      </c>
      <c r="N73" s="168" t="s">
        <v>170</v>
      </c>
      <c r="O73" s="167">
        <v>344</v>
      </c>
      <c r="P73" s="130"/>
      <c r="Q73" s="130"/>
      <c r="R73" s="165">
        <v>46.54</v>
      </c>
      <c r="S73" s="130"/>
      <c r="T73" s="132"/>
      <c r="U73" s="203" t="s">
        <v>325</v>
      </c>
      <c r="V73" s="163" t="s">
        <v>325</v>
      </c>
      <c r="W73" s="130"/>
      <c r="X73" s="165">
        <v>0</v>
      </c>
    </row>
    <row r="74" spans="1:24" s="31" customFormat="1" ht="20" customHeight="1">
      <c r="A74" s="161">
        <v>5513812108</v>
      </c>
      <c r="B74" s="162" t="s">
        <v>109</v>
      </c>
      <c r="C74" s="163" t="s">
        <v>337</v>
      </c>
      <c r="D74" s="163" t="s">
        <v>325</v>
      </c>
      <c r="E74" s="163" t="s">
        <v>332</v>
      </c>
      <c r="F74" s="163" t="s">
        <v>325</v>
      </c>
      <c r="G74" s="165">
        <v>422.92</v>
      </c>
      <c r="H74" s="165">
        <v>227.23</v>
      </c>
      <c r="I74" s="165">
        <v>195.69</v>
      </c>
      <c r="J74" s="201">
        <v>41353</v>
      </c>
      <c r="K74" s="201">
        <v>41353</v>
      </c>
      <c r="L74" s="202">
        <v>29</v>
      </c>
      <c r="M74" s="203" t="s">
        <v>327</v>
      </c>
      <c r="N74" s="168" t="s">
        <v>171</v>
      </c>
      <c r="O74" s="167">
        <v>1958</v>
      </c>
      <c r="P74" s="167">
        <v>10.199999999999999</v>
      </c>
      <c r="Q74" s="167">
        <v>0.27580572458868607</v>
      </c>
      <c r="R74" s="165">
        <v>195.69</v>
      </c>
      <c r="S74" s="130"/>
      <c r="T74" s="132"/>
      <c r="U74" s="203" t="s">
        <v>325</v>
      </c>
      <c r="V74" s="163" t="s">
        <v>325</v>
      </c>
      <c r="W74" s="130"/>
      <c r="X74" s="165">
        <v>0</v>
      </c>
    </row>
    <row r="75" spans="1:24" s="31" customFormat="1" ht="20" customHeight="1">
      <c r="A75" s="161">
        <v>5613808124</v>
      </c>
      <c r="B75" s="162" t="s">
        <v>109</v>
      </c>
      <c r="C75" s="163" t="s">
        <v>172</v>
      </c>
      <c r="D75" s="163" t="s">
        <v>325</v>
      </c>
      <c r="E75" s="163" t="s">
        <v>255</v>
      </c>
      <c r="F75" s="163" t="s">
        <v>325</v>
      </c>
      <c r="G75" s="165">
        <v>37.840000000000003</v>
      </c>
      <c r="H75" s="165">
        <v>37.840000000000003</v>
      </c>
      <c r="I75" s="165">
        <v>0</v>
      </c>
      <c r="J75" s="201">
        <v>41325</v>
      </c>
      <c r="K75" s="201">
        <v>41320</v>
      </c>
      <c r="L75" s="202">
        <v>24</v>
      </c>
      <c r="M75" s="203" t="s">
        <v>327</v>
      </c>
      <c r="N75" s="168" t="s">
        <v>173</v>
      </c>
      <c r="O75" s="167">
        <v>0</v>
      </c>
      <c r="P75" s="130"/>
      <c r="Q75" s="130"/>
      <c r="R75" s="165">
        <v>16.82</v>
      </c>
      <c r="S75" s="130"/>
      <c r="T75" s="132"/>
      <c r="U75" s="203" t="s">
        <v>325</v>
      </c>
      <c r="V75" s="163" t="s">
        <v>325</v>
      </c>
      <c r="W75" s="130"/>
      <c r="X75" s="165">
        <v>0</v>
      </c>
    </row>
    <row r="76" spans="1:24" s="31" customFormat="1" ht="20" customHeight="1">
      <c r="A76" s="161">
        <v>5668811108</v>
      </c>
      <c r="B76" s="162" t="s">
        <v>109</v>
      </c>
      <c r="C76" s="163" t="s">
        <v>159</v>
      </c>
      <c r="D76" s="163" t="s">
        <v>325</v>
      </c>
      <c r="E76" s="163" t="s">
        <v>255</v>
      </c>
      <c r="F76" s="163" t="s">
        <v>325</v>
      </c>
      <c r="G76" s="165">
        <v>61.14</v>
      </c>
      <c r="H76" s="165">
        <v>32.380000000000003</v>
      </c>
      <c r="I76" s="165">
        <v>28.76</v>
      </c>
      <c r="J76" s="201">
        <v>41346</v>
      </c>
      <c r="K76" s="201">
        <v>41342</v>
      </c>
      <c r="L76" s="202">
        <v>29</v>
      </c>
      <c r="M76" s="203" t="s">
        <v>327</v>
      </c>
      <c r="N76" s="168" t="s">
        <v>174</v>
      </c>
      <c r="O76" s="167">
        <v>67</v>
      </c>
      <c r="P76" s="130"/>
      <c r="Q76" s="130"/>
      <c r="R76" s="165">
        <v>28.76</v>
      </c>
      <c r="S76" s="130"/>
      <c r="T76" s="132"/>
      <c r="U76" s="203" t="s">
        <v>325</v>
      </c>
      <c r="V76" s="163" t="s">
        <v>325</v>
      </c>
      <c r="W76" s="130"/>
      <c r="X76" s="165">
        <v>0</v>
      </c>
    </row>
    <row r="77" spans="1:24" s="31" customFormat="1" ht="20" customHeight="1">
      <c r="A77" s="161">
        <v>5748811104</v>
      </c>
      <c r="B77" s="162" t="s">
        <v>109</v>
      </c>
      <c r="C77" s="163" t="s">
        <v>175</v>
      </c>
      <c r="D77" s="163" t="s">
        <v>325</v>
      </c>
      <c r="E77" s="163" t="s">
        <v>326</v>
      </c>
      <c r="F77" s="206" t="s">
        <v>325</v>
      </c>
      <c r="G77" s="165">
        <v>43.9</v>
      </c>
      <c r="H77" s="165">
        <v>21.99</v>
      </c>
      <c r="I77" s="165">
        <v>21.91</v>
      </c>
      <c r="J77" s="201">
        <v>41346</v>
      </c>
      <c r="K77" s="201">
        <v>41342</v>
      </c>
      <c r="L77" s="202">
        <v>30</v>
      </c>
      <c r="M77" s="203" t="s">
        <v>327</v>
      </c>
      <c r="N77" s="168" t="s">
        <v>176</v>
      </c>
      <c r="O77" s="167">
        <v>12</v>
      </c>
      <c r="P77" s="130"/>
      <c r="Q77" s="130"/>
      <c r="R77" s="165">
        <v>21.91</v>
      </c>
      <c r="S77" s="130"/>
      <c r="T77" s="132"/>
      <c r="U77" s="207" t="s">
        <v>325</v>
      </c>
      <c r="V77" s="206" t="s">
        <v>325</v>
      </c>
      <c r="W77" s="130"/>
      <c r="X77" s="165">
        <v>0</v>
      </c>
    </row>
    <row r="78" spans="1:24" s="31" customFormat="1" ht="20" customHeight="1">
      <c r="A78" s="161">
        <v>5828811100</v>
      </c>
      <c r="B78" s="162" t="s">
        <v>109</v>
      </c>
      <c r="C78" s="163" t="s">
        <v>175</v>
      </c>
      <c r="D78" s="206" t="s">
        <v>325</v>
      </c>
      <c r="E78" s="163" t="s">
        <v>326</v>
      </c>
      <c r="F78" s="163" t="s">
        <v>325</v>
      </c>
      <c r="G78" s="165">
        <v>43.4</v>
      </c>
      <c r="H78" s="165">
        <v>21.71</v>
      </c>
      <c r="I78" s="165">
        <v>21.69</v>
      </c>
      <c r="J78" s="201">
        <v>41346</v>
      </c>
      <c r="K78" s="201">
        <v>41342</v>
      </c>
      <c r="L78" s="202">
        <v>29</v>
      </c>
      <c r="M78" s="203" t="s">
        <v>327</v>
      </c>
      <c r="N78" s="168" t="s">
        <v>177</v>
      </c>
      <c r="O78" s="167">
        <v>9</v>
      </c>
      <c r="P78" s="130"/>
      <c r="Q78" s="130"/>
      <c r="R78" s="165">
        <v>21.69</v>
      </c>
      <c r="S78" s="130"/>
      <c r="T78" s="132"/>
      <c r="U78" s="203" t="s">
        <v>325</v>
      </c>
      <c r="V78" s="163" t="s">
        <v>325</v>
      </c>
      <c r="W78" s="130"/>
      <c r="X78" s="165">
        <v>0</v>
      </c>
    </row>
    <row r="79" spans="1:24" s="31" customFormat="1" ht="20" customHeight="1">
      <c r="A79" s="161">
        <v>5913814119</v>
      </c>
      <c r="B79" s="162" t="s">
        <v>109</v>
      </c>
      <c r="C79" s="163" t="s">
        <v>178</v>
      </c>
      <c r="D79" s="163" t="s">
        <v>325</v>
      </c>
      <c r="E79" s="163" t="s">
        <v>332</v>
      </c>
      <c r="F79" s="163" t="s">
        <v>325</v>
      </c>
      <c r="G79" s="165">
        <v>589.66999999999996</v>
      </c>
      <c r="H79" s="165">
        <v>270.07</v>
      </c>
      <c r="I79" s="165">
        <v>319.60000000000002</v>
      </c>
      <c r="J79" s="201">
        <v>41353</v>
      </c>
      <c r="K79" s="201">
        <v>41352</v>
      </c>
      <c r="L79" s="202">
        <v>32</v>
      </c>
      <c r="M79" s="203" t="s">
        <v>327</v>
      </c>
      <c r="N79" s="168" t="s">
        <v>179</v>
      </c>
      <c r="O79" s="167">
        <v>3287</v>
      </c>
      <c r="P79" s="167">
        <v>19.3</v>
      </c>
      <c r="Q79" s="167">
        <v>0.22175895941278068</v>
      </c>
      <c r="R79" s="165">
        <v>319.60000000000002</v>
      </c>
      <c r="S79" s="130"/>
      <c r="T79" s="132"/>
      <c r="U79" s="203" t="s">
        <v>325</v>
      </c>
      <c r="V79" s="163" t="s">
        <v>325</v>
      </c>
      <c r="W79" s="130"/>
      <c r="X79" s="165">
        <v>0</v>
      </c>
    </row>
    <row r="80" spans="1:24" s="31" customFormat="1" ht="20" customHeight="1">
      <c r="A80" s="161">
        <v>5933814115</v>
      </c>
      <c r="B80" s="162" t="s">
        <v>109</v>
      </c>
      <c r="C80" s="163" t="s">
        <v>180</v>
      </c>
      <c r="D80" s="163" t="s">
        <v>325</v>
      </c>
      <c r="E80" s="163" t="s">
        <v>332</v>
      </c>
      <c r="F80" s="163" t="s">
        <v>325</v>
      </c>
      <c r="G80" s="165">
        <v>408.89</v>
      </c>
      <c r="H80" s="165">
        <v>207.6</v>
      </c>
      <c r="I80" s="165">
        <v>201.29</v>
      </c>
      <c r="J80" s="201">
        <v>41353</v>
      </c>
      <c r="K80" s="201">
        <v>41348</v>
      </c>
      <c r="L80" s="202">
        <v>29</v>
      </c>
      <c r="M80" s="203" t="s">
        <v>327</v>
      </c>
      <c r="N80" s="168" t="s">
        <v>181</v>
      </c>
      <c r="O80" s="167">
        <v>4182</v>
      </c>
      <c r="P80" s="167">
        <v>9</v>
      </c>
      <c r="Q80" s="167">
        <v>0.66762452107279702</v>
      </c>
      <c r="R80" s="165">
        <v>201.29</v>
      </c>
      <c r="S80" s="130"/>
      <c r="T80" s="132"/>
      <c r="U80" s="203" t="s">
        <v>325</v>
      </c>
      <c r="V80" s="163" t="s">
        <v>325</v>
      </c>
      <c r="W80" s="130"/>
      <c r="X80" s="165">
        <v>0</v>
      </c>
    </row>
    <row r="81" spans="1:24" s="31" customFormat="1" ht="20" customHeight="1">
      <c r="A81" s="161">
        <v>6053820112</v>
      </c>
      <c r="B81" s="162" t="s">
        <v>109</v>
      </c>
      <c r="C81" s="163" t="s">
        <v>182</v>
      </c>
      <c r="D81" s="163" t="s">
        <v>325</v>
      </c>
      <c r="E81" s="163" t="s">
        <v>326</v>
      </c>
      <c r="F81" s="163" t="s">
        <v>325</v>
      </c>
      <c r="G81" s="165">
        <v>46.24</v>
      </c>
      <c r="H81" s="165">
        <v>23.14</v>
      </c>
      <c r="I81" s="165">
        <v>23.1</v>
      </c>
      <c r="J81" s="201">
        <v>41353</v>
      </c>
      <c r="K81" s="201">
        <v>41348</v>
      </c>
      <c r="L81" s="202">
        <v>29</v>
      </c>
      <c r="M81" s="203" t="s">
        <v>327</v>
      </c>
      <c r="N81" s="168" t="s">
        <v>183</v>
      </c>
      <c r="O81" s="167">
        <v>28</v>
      </c>
      <c r="P81" s="130"/>
      <c r="Q81" s="130"/>
      <c r="R81" s="165">
        <v>23.1</v>
      </c>
      <c r="S81" s="130"/>
      <c r="T81" s="132"/>
      <c r="U81" s="203" t="s">
        <v>325</v>
      </c>
      <c r="V81" s="163" t="s">
        <v>325</v>
      </c>
      <c r="W81" s="130"/>
      <c r="X81" s="165">
        <v>0</v>
      </c>
    </row>
    <row r="82" spans="1:24" s="31" customFormat="1" ht="20" customHeight="1">
      <c r="A82" s="161">
        <v>6173817104</v>
      </c>
      <c r="B82" s="162" t="s">
        <v>109</v>
      </c>
      <c r="C82" s="163" t="s">
        <v>184</v>
      </c>
      <c r="D82" s="163" t="s">
        <v>325</v>
      </c>
      <c r="E82" s="163" t="s">
        <v>326</v>
      </c>
      <c r="F82" s="206" t="s">
        <v>325</v>
      </c>
      <c r="G82" s="165">
        <v>82.06</v>
      </c>
      <c r="H82" s="165">
        <v>41.32</v>
      </c>
      <c r="I82" s="165">
        <v>40.74</v>
      </c>
      <c r="J82" s="201">
        <v>41353</v>
      </c>
      <c r="K82" s="201">
        <v>41348</v>
      </c>
      <c r="L82" s="202">
        <v>29</v>
      </c>
      <c r="M82" s="203" t="s">
        <v>327</v>
      </c>
      <c r="N82" s="168" t="s">
        <v>185</v>
      </c>
      <c r="O82" s="167">
        <v>266</v>
      </c>
      <c r="P82" s="130"/>
      <c r="Q82" s="130"/>
      <c r="R82" s="165">
        <v>40.74</v>
      </c>
      <c r="S82" s="130"/>
      <c r="T82" s="132"/>
      <c r="U82" s="207" t="s">
        <v>325</v>
      </c>
      <c r="V82" s="206" t="s">
        <v>325</v>
      </c>
      <c r="W82" s="130"/>
      <c r="X82" s="165">
        <v>0</v>
      </c>
    </row>
    <row r="83" spans="1:24" s="31" customFormat="1" ht="20" customHeight="1">
      <c r="A83" s="161">
        <v>6368810106</v>
      </c>
      <c r="B83" s="162" t="s">
        <v>109</v>
      </c>
      <c r="C83" s="163" t="s">
        <v>186</v>
      </c>
      <c r="D83" s="206" t="s">
        <v>325</v>
      </c>
      <c r="E83" s="163" t="s">
        <v>326</v>
      </c>
      <c r="F83" s="206" t="s">
        <v>325</v>
      </c>
      <c r="G83" s="165">
        <v>42.04</v>
      </c>
      <c r="H83" s="165">
        <v>21.02</v>
      </c>
      <c r="I83" s="165">
        <v>21.02</v>
      </c>
      <c r="J83" s="201">
        <v>41346</v>
      </c>
      <c r="K83" s="201">
        <v>41342</v>
      </c>
      <c r="L83" s="202">
        <v>29</v>
      </c>
      <c r="M83" s="203" t="s">
        <v>327</v>
      </c>
      <c r="N83" s="168" t="s">
        <v>187</v>
      </c>
      <c r="O83" s="167">
        <v>0</v>
      </c>
      <c r="P83" s="130"/>
      <c r="Q83" s="130"/>
      <c r="R83" s="165">
        <v>21.02</v>
      </c>
      <c r="S83" s="130"/>
      <c r="T83" s="132"/>
      <c r="U83" s="207" t="s">
        <v>325</v>
      </c>
      <c r="V83" s="206" t="s">
        <v>325</v>
      </c>
      <c r="W83" s="130"/>
      <c r="X83" s="165">
        <v>0</v>
      </c>
    </row>
    <row r="84" spans="1:24" s="31" customFormat="1" ht="20" customHeight="1">
      <c r="A84" s="161">
        <v>6853819124</v>
      </c>
      <c r="B84" s="162" t="s">
        <v>109</v>
      </c>
      <c r="C84" s="163" t="s">
        <v>188</v>
      </c>
      <c r="D84" s="206" t="s">
        <v>325</v>
      </c>
      <c r="E84" s="163" t="s">
        <v>255</v>
      </c>
      <c r="F84" s="206" t="s">
        <v>325</v>
      </c>
      <c r="G84" s="165">
        <v>56.14</v>
      </c>
      <c r="H84" s="165">
        <v>29.34</v>
      </c>
      <c r="I84" s="165">
        <v>26.8</v>
      </c>
      <c r="J84" s="201">
        <v>41353</v>
      </c>
      <c r="K84" s="201">
        <v>41348</v>
      </c>
      <c r="L84" s="202">
        <v>29</v>
      </c>
      <c r="M84" s="203" t="s">
        <v>327</v>
      </c>
      <c r="N84" s="168" t="s">
        <v>189</v>
      </c>
      <c r="O84" s="167">
        <v>50</v>
      </c>
      <c r="P84" s="130"/>
      <c r="Q84" s="130"/>
      <c r="R84" s="165">
        <v>26.8</v>
      </c>
      <c r="S84" s="130"/>
      <c r="T84" s="132"/>
      <c r="U84" s="207" t="s">
        <v>325</v>
      </c>
      <c r="V84" s="206" t="s">
        <v>325</v>
      </c>
      <c r="W84" s="130"/>
      <c r="X84" s="165">
        <v>0</v>
      </c>
    </row>
    <row r="85" spans="1:24" s="31" customFormat="1" ht="20" customHeight="1">
      <c r="A85" s="161">
        <v>6857311003</v>
      </c>
      <c r="B85" s="162" t="s">
        <v>109</v>
      </c>
      <c r="C85" s="163" t="s">
        <v>190</v>
      </c>
      <c r="D85" s="206" t="s">
        <v>325</v>
      </c>
      <c r="E85" s="163" t="s">
        <v>255</v>
      </c>
      <c r="F85" s="206" t="s">
        <v>325</v>
      </c>
      <c r="G85" s="165">
        <v>44.06</v>
      </c>
      <c r="H85" s="165">
        <v>22.12</v>
      </c>
      <c r="I85" s="165">
        <v>21.94</v>
      </c>
      <c r="J85" s="201">
        <v>41353</v>
      </c>
      <c r="K85" s="201">
        <v>41348</v>
      </c>
      <c r="L85" s="202">
        <v>29</v>
      </c>
      <c r="M85" s="203" t="s">
        <v>327</v>
      </c>
      <c r="N85" s="168" t="s">
        <v>191</v>
      </c>
      <c r="O85" s="167">
        <v>4</v>
      </c>
      <c r="P85" s="130"/>
      <c r="Q85" s="130"/>
      <c r="R85" s="165">
        <v>21.94</v>
      </c>
      <c r="S85" s="130"/>
      <c r="T85" s="132"/>
      <c r="U85" s="207" t="s">
        <v>325</v>
      </c>
      <c r="V85" s="206" t="s">
        <v>325</v>
      </c>
      <c r="W85" s="130"/>
      <c r="X85" s="165">
        <v>0</v>
      </c>
    </row>
    <row r="86" spans="1:24" s="31" customFormat="1" ht="20" customHeight="1">
      <c r="A86" s="161">
        <v>7312015014</v>
      </c>
      <c r="B86" s="162" t="s">
        <v>109</v>
      </c>
      <c r="C86" s="163" t="s">
        <v>192</v>
      </c>
      <c r="D86" s="206" t="s">
        <v>325</v>
      </c>
      <c r="E86" s="163" t="s">
        <v>326</v>
      </c>
      <c r="F86" s="206" t="s">
        <v>325</v>
      </c>
      <c r="G86" s="165">
        <v>51.03</v>
      </c>
      <c r="H86" s="165">
        <v>24.15</v>
      </c>
      <c r="I86" s="165">
        <v>26.88</v>
      </c>
      <c r="J86" s="201">
        <v>41346</v>
      </c>
      <c r="K86" s="201">
        <v>41342</v>
      </c>
      <c r="L86" s="202">
        <v>29</v>
      </c>
      <c r="M86" s="203" t="s">
        <v>327</v>
      </c>
      <c r="N86" s="168" t="s">
        <v>193</v>
      </c>
      <c r="O86" s="167">
        <v>79</v>
      </c>
      <c r="P86" s="130"/>
      <c r="Q86" s="130"/>
      <c r="R86" s="165">
        <v>26.88</v>
      </c>
      <c r="S86" s="130"/>
      <c r="T86" s="132"/>
      <c r="U86" s="207" t="s">
        <v>325</v>
      </c>
      <c r="V86" s="206" t="s">
        <v>325</v>
      </c>
      <c r="W86" s="130"/>
      <c r="X86" s="165">
        <v>0</v>
      </c>
    </row>
    <row r="87" spans="1:24" s="31" customFormat="1" ht="20" customHeight="1">
      <c r="A87" s="161">
        <v>8193819106</v>
      </c>
      <c r="B87" s="162" t="s">
        <v>109</v>
      </c>
      <c r="C87" s="163" t="s">
        <v>205</v>
      </c>
      <c r="D87" s="206" t="s">
        <v>325</v>
      </c>
      <c r="E87" s="206" t="s">
        <v>325</v>
      </c>
      <c r="F87" s="163" t="s">
        <v>335</v>
      </c>
      <c r="G87" s="165">
        <v>1330.01</v>
      </c>
      <c r="H87" s="165">
        <v>780.56</v>
      </c>
      <c r="I87" s="165">
        <v>549.45000000000005</v>
      </c>
      <c r="J87" s="201">
        <v>41353</v>
      </c>
      <c r="K87" s="132"/>
      <c r="L87" s="186"/>
      <c r="M87" s="207" t="s">
        <v>325</v>
      </c>
      <c r="N87" s="208" t="s">
        <v>325</v>
      </c>
      <c r="O87" s="130"/>
      <c r="P87" s="130"/>
      <c r="Q87" s="130"/>
      <c r="R87" s="165">
        <v>0</v>
      </c>
      <c r="S87" s="166">
        <v>41348</v>
      </c>
      <c r="T87" s="168">
        <v>29</v>
      </c>
      <c r="U87" s="203" t="s">
        <v>327</v>
      </c>
      <c r="V87" s="163" t="s">
        <v>88</v>
      </c>
      <c r="W87" s="167">
        <v>1981</v>
      </c>
      <c r="X87" s="165">
        <v>549.45000000000005</v>
      </c>
    </row>
    <row r="88" spans="1:24" s="31" customFormat="1" ht="20" customHeight="1">
      <c r="A88" s="161">
        <v>8714009102</v>
      </c>
      <c r="B88" s="162" t="s">
        <v>109</v>
      </c>
      <c r="C88" s="163" t="s">
        <v>89</v>
      </c>
      <c r="D88" s="206" t="s">
        <v>325</v>
      </c>
      <c r="E88" s="163" t="s">
        <v>326</v>
      </c>
      <c r="F88" s="163" t="s">
        <v>163</v>
      </c>
      <c r="G88" s="165">
        <v>303.81</v>
      </c>
      <c r="H88" s="165">
        <v>197.11</v>
      </c>
      <c r="I88" s="165">
        <v>106.7</v>
      </c>
      <c r="J88" s="201">
        <v>41326</v>
      </c>
      <c r="K88" s="201">
        <v>41320</v>
      </c>
      <c r="L88" s="202">
        <v>29</v>
      </c>
      <c r="M88" s="203" t="s">
        <v>327</v>
      </c>
      <c r="N88" s="168" t="s">
        <v>90</v>
      </c>
      <c r="O88" s="167">
        <v>782</v>
      </c>
      <c r="P88" s="130"/>
      <c r="Q88" s="130"/>
      <c r="R88" s="165">
        <v>80.239999999999995</v>
      </c>
      <c r="S88" s="166">
        <v>41320</v>
      </c>
      <c r="T88" s="168">
        <v>29</v>
      </c>
      <c r="U88" s="203" t="s">
        <v>327</v>
      </c>
      <c r="V88" s="163" t="s">
        <v>91</v>
      </c>
      <c r="W88" s="167">
        <v>4</v>
      </c>
      <c r="X88" s="165">
        <v>26.46</v>
      </c>
    </row>
    <row r="89" spans="1:24" s="31" customFormat="1" ht="20" customHeight="1">
      <c r="A89" s="161">
        <v>8993882105</v>
      </c>
      <c r="B89" s="162" t="s">
        <v>109</v>
      </c>
      <c r="C89" s="163" t="s">
        <v>92</v>
      </c>
      <c r="D89" s="206" t="s">
        <v>325</v>
      </c>
      <c r="E89" s="163" t="s">
        <v>330</v>
      </c>
      <c r="F89" s="206" t="s">
        <v>325</v>
      </c>
      <c r="G89" s="165">
        <v>191.27</v>
      </c>
      <c r="H89" s="165">
        <v>95.64</v>
      </c>
      <c r="I89" s="165">
        <v>95.63</v>
      </c>
      <c r="J89" s="201">
        <v>41353</v>
      </c>
      <c r="K89" s="201">
        <v>41353</v>
      </c>
      <c r="L89" s="202">
        <v>28</v>
      </c>
      <c r="M89" s="203" t="s">
        <v>327</v>
      </c>
      <c r="N89" s="208" t="s">
        <v>325</v>
      </c>
      <c r="O89" s="167">
        <v>80</v>
      </c>
      <c r="P89" s="130"/>
      <c r="Q89" s="130"/>
      <c r="R89" s="165">
        <v>95.63</v>
      </c>
      <c r="S89" s="130"/>
      <c r="T89" s="132"/>
      <c r="U89" s="207" t="s">
        <v>325</v>
      </c>
      <c r="V89" s="206" t="s">
        <v>325</v>
      </c>
      <c r="W89" s="130"/>
      <c r="X89" s="165">
        <v>0</v>
      </c>
    </row>
    <row r="90" spans="1:24" s="31" customFormat="1" ht="20" customHeight="1">
      <c r="A90" s="161">
        <v>9308810101</v>
      </c>
      <c r="B90" s="162" t="s">
        <v>109</v>
      </c>
      <c r="C90" s="163" t="s">
        <v>337</v>
      </c>
      <c r="D90" s="206" t="s">
        <v>325</v>
      </c>
      <c r="E90" s="206" t="s">
        <v>325</v>
      </c>
      <c r="F90" s="163" t="s">
        <v>335</v>
      </c>
      <c r="G90" s="165">
        <v>283.82</v>
      </c>
      <c r="H90" s="165">
        <v>134.75</v>
      </c>
      <c r="I90" s="165">
        <v>149.07</v>
      </c>
      <c r="J90" s="201">
        <v>41346</v>
      </c>
      <c r="K90" s="132"/>
      <c r="L90" s="186"/>
      <c r="M90" s="207" t="s">
        <v>325</v>
      </c>
      <c r="N90" s="208" t="s">
        <v>325</v>
      </c>
      <c r="O90" s="130"/>
      <c r="P90" s="130"/>
      <c r="Q90" s="130"/>
      <c r="R90" s="165">
        <v>0</v>
      </c>
      <c r="S90" s="166">
        <v>41342</v>
      </c>
      <c r="T90" s="168">
        <v>29</v>
      </c>
      <c r="U90" s="203" t="s">
        <v>327</v>
      </c>
      <c r="V90" s="163" t="s">
        <v>93</v>
      </c>
      <c r="W90" s="167">
        <v>363</v>
      </c>
      <c r="X90" s="165">
        <v>149.07</v>
      </c>
    </row>
    <row r="91" spans="1:24" s="31" customFormat="1" ht="20" customHeight="1">
      <c r="A91" s="161">
        <v>9428808118</v>
      </c>
      <c r="B91" s="162" t="s">
        <v>109</v>
      </c>
      <c r="C91" s="163" t="s">
        <v>94</v>
      </c>
      <c r="D91" s="206" t="s">
        <v>325</v>
      </c>
      <c r="E91" s="163" t="s">
        <v>95</v>
      </c>
      <c r="F91" s="163" t="s">
        <v>236</v>
      </c>
      <c r="G91" s="165">
        <v>169.33</v>
      </c>
      <c r="H91" s="165">
        <v>95.14</v>
      </c>
      <c r="I91" s="165">
        <v>74.19</v>
      </c>
      <c r="J91" s="201">
        <v>41346</v>
      </c>
      <c r="K91" s="201">
        <v>41342</v>
      </c>
      <c r="L91" s="202">
        <v>29</v>
      </c>
      <c r="M91" s="203" t="s">
        <v>327</v>
      </c>
      <c r="N91" s="168" t="s">
        <v>96</v>
      </c>
      <c r="O91" s="167">
        <v>61</v>
      </c>
      <c r="P91" s="130"/>
      <c r="Q91" s="130"/>
      <c r="R91" s="165">
        <v>22.67</v>
      </c>
      <c r="S91" s="166">
        <v>41342</v>
      </c>
      <c r="T91" s="168">
        <v>29</v>
      </c>
      <c r="U91" s="203" t="s">
        <v>327</v>
      </c>
      <c r="V91" s="163" t="s">
        <v>97</v>
      </c>
      <c r="W91" s="167">
        <v>32</v>
      </c>
      <c r="X91" s="165">
        <v>51.52</v>
      </c>
    </row>
    <row r="92" spans="1:24" s="31" customFormat="1" ht="20" customHeight="1">
      <c r="A92" s="161">
        <v>9488810107</v>
      </c>
      <c r="B92" s="162" t="s">
        <v>109</v>
      </c>
      <c r="C92" s="163" t="s">
        <v>337</v>
      </c>
      <c r="D92" s="206" t="s">
        <v>325</v>
      </c>
      <c r="E92" s="163" t="s">
        <v>332</v>
      </c>
      <c r="F92" s="206" t="s">
        <v>325</v>
      </c>
      <c r="G92" s="165">
        <v>219.88</v>
      </c>
      <c r="H92" s="165">
        <v>111.98</v>
      </c>
      <c r="I92" s="165">
        <v>107.9</v>
      </c>
      <c r="J92" s="201">
        <v>41346</v>
      </c>
      <c r="K92" s="201">
        <v>41345</v>
      </c>
      <c r="L92" s="202">
        <v>29</v>
      </c>
      <c r="M92" s="203" t="s">
        <v>327</v>
      </c>
      <c r="N92" s="168" t="s">
        <v>98</v>
      </c>
      <c r="O92" s="167">
        <v>1760</v>
      </c>
      <c r="P92" s="167">
        <v>3.2</v>
      </c>
      <c r="Q92" s="167">
        <v>0.79022988505747127</v>
      </c>
      <c r="R92" s="165">
        <v>107.9</v>
      </c>
      <c r="S92" s="130"/>
      <c r="T92" s="132"/>
      <c r="U92" s="207" t="s">
        <v>325</v>
      </c>
      <c r="V92" s="206" t="s">
        <v>325</v>
      </c>
      <c r="W92" s="130"/>
      <c r="X92" s="165">
        <v>0</v>
      </c>
    </row>
    <row r="93" spans="1:24" s="31" customFormat="1" ht="20" customHeight="1">
      <c r="A93" s="161">
        <v>9529017113</v>
      </c>
      <c r="B93" s="162" t="s">
        <v>109</v>
      </c>
      <c r="C93" s="163" t="s">
        <v>99</v>
      </c>
      <c r="D93" s="206" t="s">
        <v>325</v>
      </c>
      <c r="E93" s="163" t="s">
        <v>326</v>
      </c>
      <c r="F93" s="206" t="s">
        <v>325</v>
      </c>
      <c r="G93" s="165">
        <v>42.04</v>
      </c>
      <c r="H93" s="165">
        <v>21.02</v>
      </c>
      <c r="I93" s="165">
        <v>21.02</v>
      </c>
      <c r="J93" s="201">
        <v>41346</v>
      </c>
      <c r="K93" s="201">
        <v>41344</v>
      </c>
      <c r="L93" s="202">
        <v>31</v>
      </c>
      <c r="M93" s="203" t="s">
        <v>327</v>
      </c>
      <c r="N93" s="168" t="s">
        <v>100</v>
      </c>
      <c r="O93" s="167">
        <v>0</v>
      </c>
      <c r="P93" s="130"/>
      <c r="Q93" s="130"/>
      <c r="R93" s="165">
        <v>21.02</v>
      </c>
      <c r="S93" s="130"/>
      <c r="T93" s="132"/>
      <c r="U93" s="207" t="s">
        <v>325</v>
      </c>
      <c r="V93" s="206" t="s">
        <v>325</v>
      </c>
      <c r="W93" s="130"/>
      <c r="X93" s="165">
        <v>0</v>
      </c>
    </row>
    <row r="94" spans="1:24" s="31" customFormat="1" ht="20" customHeight="1">
      <c r="A94" s="161">
        <v>9753819107</v>
      </c>
      <c r="B94" s="162" t="s">
        <v>109</v>
      </c>
      <c r="C94" s="163" t="s">
        <v>101</v>
      </c>
      <c r="D94" s="206" t="s">
        <v>325</v>
      </c>
      <c r="E94" s="163" t="s">
        <v>332</v>
      </c>
      <c r="F94" s="163" t="s">
        <v>277</v>
      </c>
      <c r="G94" s="165">
        <v>2476.54</v>
      </c>
      <c r="H94" s="165">
        <v>1299.18</v>
      </c>
      <c r="I94" s="165">
        <v>1177.3599999999999</v>
      </c>
      <c r="J94" s="201">
        <v>41353</v>
      </c>
      <c r="K94" s="201">
        <v>41352</v>
      </c>
      <c r="L94" s="202">
        <v>32</v>
      </c>
      <c r="M94" s="203" t="s">
        <v>327</v>
      </c>
      <c r="N94" s="168" t="s">
        <v>102</v>
      </c>
      <c r="O94" s="167">
        <v>13680</v>
      </c>
      <c r="P94" s="167">
        <v>36.799999999999997</v>
      </c>
      <c r="Q94" s="167">
        <v>0.48403532608695654</v>
      </c>
      <c r="R94" s="165">
        <v>629.59</v>
      </c>
      <c r="S94" s="166">
        <v>41348</v>
      </c>
      <c r="T94" s="168">
        <v>29</v>
      </c>
      <c r="U94" s="203" t="s">
        <v>327</v>
      </c>
      <c r="V94" s="163" t="s">
        <v>103</v>
      </c>
      <c r="W94" s="167">
        <v>598</v>
      </c>
      <c r="X94" s="165">
        <v>547.77</v>
      </c>
    </row>
    <row r="95" spans="1:24" s="31" customFormat="1" ht="20" customHeight="1">
      <c r="A95" s="161">
        <v>9753820119</v>
      </c>
      <c r="B95" s="162" t="s">
        <v>109</v>
      </c>
      <c r="C95" s="163" t="s">
        <v>104</v>
      </c>
      <c r="D95" s="206" t="s">
        <v>325</v>
      </c>
      <c r="E95" s="163" t="s">
        <v>326</v>
      </c>
      <c r="F95" s="206" t="s">
        <v>325</v>
      </c>
      <c r="G95" s="165">
        <v>46.01</v>
      </c>
      <c r="H95" s="165">
        <v>22.18</v>
      </c>
      <c r="I95" s="165">
        <v>23.83</v>
      </c>
      <c r="J95" s="201">
        <v>41353</v>
      </c>
      <c r="K95" s="201">
        <v>41348</v>
      </c>
      <c r="L95" s="202">
        <v>29</v>
      </c>
      <c r="M95" s="203" t="s">
        <v>327</v>
      </c>
      <c r="N95" s="168" t="s">
        <v>105</v>
      </c>
      <c r="O95" s="167">
        <v>38</v>
      </c>
      <c r="P95" s="130"/>
      <c r="Q95" s="130"/>
      <c r="R95" s="165">
        <v>23.83</v>
      </c>
      <c r="S95" s="130"/>
      <c r="T95" s="132"/>
      <c r="U95" s="207" t="s">
        <v>325</v>
      </c>
      <c r="V95" s="206" t="s">
        <v>325</v>
      </c>
      <c r="W95" s="130"/>
      <c r="X95" s="165">
        <v>0</v>
      </c>
    </row>
    <row r="96" spans="1:24" s="31" customFormat="1" ht="20" customHeight="1">
      <c r="A96" s="161">
        <v>9953820104</v>
      </c>
      <c r="B96" s="162" t="s">
        <v>109</v>
      </c>
      <c r="C96" s="163" t="s">
        <v>106</v>
      </c>
      <c r="D96" s="206" t="s">
        <v>325</v>
      </c>
      <c r="E96" s="163" t="s">
        <v>326</v>
      </c>
      <c r="F96" s="163" t="s">
        <v>325</v>
      </c>
      <c r="G96" s="165">
        <v>56.29</v>
      </c>
      <c r="H96" s="165">
        <v>28.14</v>
      </c>
      <c r="I96" s="165">
        <v>28.15</v>
      </c>
      <c r="J96" s="201">
        <v>41353</v>
      </c>
      <c r="K96" s="201">
        <v>41348</v>
      </c>
      <c r="L96" s="202">
        <v>29</v>
      </c>
      <c r="M96" s="203" t="s">
        <v>327</v>
      </c>
      <c r="N96" s="168" t="s">
        <v>107</v>
      </c>
      <c r="O96" s="167">
        <v>96</v>
      </c>
      <c r="P96" s="130"/>
      <c r="Q96" s="130"/>
      <c r="R96" s="165">
        <v>28.15</v>
      </c>
      <c r="S96" s="130"/>
      <c r="T96" s="132"/>
      <c r="U96" s="203" t="s">
        <v>325</v>
      </c>
      <c r="V96" s="163" t="s">
        <v>325</v>
      </c>
      <c r="W96" s="130"/>
      <c r="X96" s="165">
        <v>0</v>
      </c>
    </row>
    <row r="97" spans="1:26" s="33" customFormat="1" ht="20" customHeight="1">
      <c r="A97" s="32"/>
      <c r="B97" s="32"/>
      <c r="C97" s="32"/>
      <c r="D97" s="32"/>
      <c r="E97" s="32"/>
      <c r="F97" s="32"/>
      <c r="G97" s="32"/>
      <c r="H97" s="32"/>
      <c r="I97" s="32"/>
      <c r="J97" s="51"/>
      <c r="K97" s="51"/>
      <c r="L97" s="209"/>
      <c r="M97" s="210"/>
      <c r="N97" s="51"/>
      <c r="O97" s="32"/>
      <c r="P97" s="32"/>
      <c r="Q97" s="32"/>
      <c r="R97" s="32"/>
      <c r="S97" s="32"/>
      <c r="T97" s="32"/>
      <c r="U97" s="51"/>
      <c r="V97" s="210"/>
      <c r="W97" s="32"/>
      <c r="X97" s="32"/>
      <c r="Y97" s="32"/>
      <c r="Z97" s="32"/>
    </row>
    <row r="98" spans="1:26" s="33" customFormat="1" ht="20" customHeight="1">
      <c r="A98" s="211"/>
      <c r="B98" s="211"/>
      <c r="C98" s="211"/>
      <c r="D98" s="211"/>
      <c r="E98" s="211"/>
      <c r="F98" s="211"/>
      <c r="G98" s="211"/>
      <c r="H98" s="211"/>
      <c r="I98" s="212">
        <f>SUM(I15:I97)</f>
        <v>20846.050000000003</v>
      </c>
      <c r="J98" s="213">
        <v>20846.050000000003</v>
      </c>
      <c r="K98" s="214"/>
      <c r="L98" s="215"/>
      <c r="M98" s="216"/>
      <c r="N98" s="214"/>
      <c r="O98" s="211"/>
      <c r="P98" s="211"/>
      <c r="Q98" s="211"/>
      <c r="R98" s="211"/>
      <c r="S98" s="211"/>
      <c r="T98" s="211"/>
      <c r="U98" s="214"/>
      <c r="V98" s="216"/>
      <c r="W98" s="211"/>
      <c r="X98" s="211"/>
      <c r="Y98" s="211"/>
      <c r="Z98" s="211"/>
    </row>
  </sheetData>
  <phoneticPr fontId="7" type="noConversion"/>
  <pageMargins left="0.45" right="0.45" top="0.25" bottom="0.25" header="0" footer="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X104"/>
  <sheetViews>
    <sheetView topLeftCell="A3" workbookViewId="0">
      <selection sqref="A1:XFD4"/>
    </sheetView>
  </sheetViews>
  <sheetFormatPr baseColWidth="10" defaultColWidth="8.83203125" defaultRowHeight="14" x14ac:dyDescent="0"/>
  <cols>
    <col min="1" max="1" width="15.33203125" style="125" customWidth="1"/>
    <col min="2" max="2" width="17.33203125" style="179" customWidth="1"/>
    <col min="3" max="3" width="35.83203125" style="35" customWidth="1"/>
    <col min="4" max="4" width="8.5" style="35" customWidth="1"/>
    <col min="5" max="5" width="16.83203125" style="179" customWidth="1"/>
    <col min="6" max="6" width="9.1640625" style="35" hidden="1" customWidth="1"/>
    <col min="7" max="7" width="11.5" style="35" hidden="1" customWidth="1"/>
    <col min="8" max="8" width="9.83203125" style="35" hidden="1" customWidth="1"/>
    <col min="9" max="9" width="16.5" style="35" customWidth="1"/>
    <col min="10" max="10" width="15.5" style="35" hidden="1" customWidth="1"/>
    <col min="11" max="11" width="16" style="35" hidden="1" customWidth="1"/>
    <col min="12" max="12" width="4.6640625" style="35" hidden="1" customWidth="1"/>
    <col min="13" max="13" width="9.1640625" style="35" hidden="1" customWidth="1"/>
    <col min="14" max="14" width="13.33203125" style="125" hidden="1" customWidth="1"/>
    <col min="15" max="15" width="9.33203125" style="35" customWidth="1"/>
    <col min="16" max="16" width="5" style="35" hidden="1" customWidth="1"/>
    <col min="17" max="17" width="12" style="35" hidden="1" customWidth="1"/>
    <col min="18" max="18" width="12.5" style="35" customWidth="1"/>
    <col min="19" max="19" width="16.5" style="35" hidden="1" customWidth="1"/>
    <col min="20" max="20" width="4.5" style="35" hidden="1" customWidth="1"/>
    <col min="21" max="21" width="13.1640625" style="35" hidden="1" customWidth="1"/>
    <col min="22" max="22" width="16.1640625" style="125" hidden="1" customWidth="1"/>
    <col min="23" max="23" width="10.1640625" style="35" customWidth="1"/>
    <col min="24" max="24" width="11.83203125" style="35" customWidth="1"/>
    <col min="25" max="16384" width="8.83203125" style="35"/>
  </cols>
  <sheetData>
    <row r="1" spans="1:24">
      <c r="A1" s="35"/>
      <c r="B1" s="35"/>
      <c r="E1" s="35"/>
      <c r="F1" s="31"/>
      <c r="J1" s="125"/>
      <c r="K1" s="125"/>
      <c r="L1" s="217"/>
      <c r="M1" s="97"/>
      <c r="U1" s="125"/>
      <c r="V1" s="97"/>
      <c r="W1" s="180"/>
    </row>
    <row r="2" spans="1:24">
      <c r="A2" s="35"/>
      <c r="B2" s="35"/>
      <c r="E2" s="35"/>
      <c r="F2" s="31"/>
      <c r="J2" s="125"/>
      <c r="K2" s="125"/>
      <c r="L2" s="217"/>
      <c r="M2" s="97"/>
      <c r="U2" s="125"/>
      <c r="V2" s="97"/>
      <c r="W2" s="180"/>
    </row>
    <row r="3" spans="1:24">
      <c r="A3" s="35"/>
      <c r="B3" s="35"/>
      <c r="E3" s="35"/>
      <c r="F3" s="31"/>
      <c r="J3" s="125"/>
      <c r="K3" s="125"/>
      <c r="L3" s="217"/>
      <c r="M3" s="97"/>
      <c r="U3" s="125"/>
      <c r="V3" s="97"/>
      <c r="W3" s="180"/>
    </row>
    <row r="4" spans="1:24" ht="15" thickBot="1">
      <c r="A4" s="35"/>
      <c r="B4" s="35"/>
      <c r="E4" s="35"/>
      <c r="F4" s="31"/>
      <c r="J4" s="125"/>
      <c r="K4" s="125"/>
      <c r="L4" s="217"/>
      <c r="M4" s="97"/>
      <c r="U4" s="125"/>
      <c r="V4" s="97"/>
      <c r="W4" s="180"/>
    </row>
    <row r="5" spans="1:24" ht="15" thickBot="1">
      <c r="A5" s="218" t="s">
        <v>289</v>
      </c>
      <c r="B5" s="134"/>
      <c r="C5" s="135"/>
      <c r="D5" s="135"/>
      <c r="E5" s="219"/>
      <c r="F5" s="33"/>
      <c r="G5" s="220"/>
      <c r="H5" s="220"/>
      <c r="I5" s="220"/>
      <c r="J5" s="33"/>
      <c r="K5" s="33"/>
      <c r="L5" s="33"/>
      <c r="M5" s="33"/>
      <c r="N5" s="51"/>
      <c r="O5" s="33"/>
      <c r="P5" s="33"/>
      <c r="Q5" s="33"/>
      <c r="R5" s="220"/>
      <c r="S5" s="33"/>
      <c r="T5" s="33"/>
      <c r="U5" s="33"/>
      <c r="V5" s="51"/>
      <c r="W5" s="33"/>
      <c r="X5" s="220"/>
    </row>
    <row r="6" spans="1:24" ht="15" thickBot="1">
      <c r="A6" s="218" t="s">
        <v>290</v>
      </c>
      <c r="B6" s="134"/>
      <c r="C6" s="135"/>
      <c r="D6" s="135"/>
      <c r="E6" s="219"/>
      <c r="F6" s="33"/>
      <c r="G6" s="220"/>
      <c r="H6" s="220"/>
      <c r="I6" s="220"/>
      <c r="J6" s="33"/>
      <c r="K6" s="33"/>
      <c r="L6" s="33"/>
      <c r="M6" s="33"/>
      <c r="N6" s="51"/>
      <c r="O6" s="33"/>
      <c r="P6" s="33"/>
      <c r="Q6" s="33"/>
      <c r="R6" s="220"/>
      <c r="S6" s="33"/>
      <c r="T6" s="33"/>
      <c r="U6" s="33"/>
      <c r="V6" s="51"/>
      <c r="W6" s="33"/>
      <c r="X6" s="220"/>
    </row>
    <row r="7" spans="1:24">
      <c r="A7" s="221" t="s">
        <v>291</v>
      </c>
      <c r="B7" s="222"/>
      <c r="C7" s="223"/>
      <c r="D7" s="223"/>
      <c r="E7" s="224"/>
      <c r="F7" s="33"/>
      <c r="G7" s="220"/>
      <c r="H7" s="220"/>
      <c r="I7" s="220"/>
      <c r="J7" s="33"/>
      <c r="K7" s="33"/>
      <c r="L7" s="33"/>
      <c r="M7" s="33"/>
      <c r="N7" s="51"/>
      <c r="O7" s="33"/>
      <c r="P7" s="33"/>
      <c r="Q7" s="33"/>
      <c r="R7" s="220"/>
      <c r="S7" s="33"/>
      <c r="T7" s="33"/>
      <c r="U7" s="33"/>
      <c r="V7" s="51"/>
      <c r="W7" s="33"/>
      <c r="X7" s="220"/>
    </row>
    <row r="8" spans="1:24" ht="15" thickBot="1">
      <c r="A8" s="225" t="s">
        <v>292</v>
      </c>
      <c r="B8" s="226"/>
      <c r="C8" s="227"/>
      <c r="D8" s="227"/>
      <c r="E8" s="228"/>
      <c r="F8" s="33"/>
      <c r="G8" s="220"/>
      <c r="H8" s="220"/>
      <c r="I8" s="220"/>
      <c r="J8" s="33"/>
      <c r="K8" s="33"/>
      <c r="L8" s="33"/>
      <c r="M8" s="33"/>
      <c r="N8" s="51"/>
      <c r="O8" s="33"/>
      <c r="P8" s="33"/>
      <c r="Q8" s="33"/>
      <c r="R8" s="220"/>
      <c r="S8" s="33"/>
      <c r="T8" s="33"/>
      <c r="U8" s="33"/>
      <c r="V8" s="51"/>
      <c r="W8" s="33"/>
      <c r="X8" s="220"/>
    </row>
    <row r="9" spans="1:24" ht="15" thickBot="1">
      <c r="A9" s="218" t="s">
        <v>293</v>
      </c>
      <c r="B9" s="219" t="s">
        <v>294</v>
      </c>
      <c r="C9" s="229">
        <v>41386</v>
      </c>
      <c r="D9" s="230" t="s">
        <v>295</v>
      </c>
      <c r="E9" s="231">
        <f>C9+14</f>
        <v>41400</v>
      </c>
      <c r="F9" s="33"/>
      <c r="G9" s="220"/>
      <c r="H9" s="220"/>
      <c r="I9" s="220"/>
      <c r="J9" s="33"/>
      <c r="K9" s="33"/>
      <c r="L9" s="33"/>
      <c r="M9" s="33"/>
      <c r="N9" s="51"/>
      <c r="O9" s="33"/>
      <c r="P9" s="33"/>
      <c r="Q9" s="33"/>
      <c r="R9" s="220"/>
      <c r="S9" s="33"/>
      <c r="T9" s="33"/>
      <c r="U9" s="33"/>
      <c r="V9" s="51"/>
      <c r="W9" s="33"/>
      <c r="X9" s="220"/>
    </row>
    <row r="10" spans="1:24" ht="15" thickBot="1">
      <c r="A10" s="221" t="s">
        <v>296</v>
      </c>
      <c r="B10" s="232">
        <f>I98</f>
        <v>18544.021000000001</v>
      </c>
      <c r="C10" s="223"/>
      <c r="D10" s="223"/>
      <c r="E10" s="224"/>
      <c r="F10" s="33"/>
      <c r="G10" s="220"/>
      <c r="H10" s="220"/>
      <c r="I10" s="220"/>
      <c r="J10" s="33"/>
      <c r="K10" s="33"/>
      <c r="L10" s="33"/>
      <c r="M10" s="33"/>
      <c r="N10" s="51"/>
      <c r="O10" s="33"/>
      <c r="P10" s="33"/>
      <c r="Q10" s="33"/>
      <c r="R10" s="220"/>
      <c r="S10" s="33"/>
      <c r="T10" s="33"/>
      <c r="U10" s="33"/>
      <c r="V10" s="51"/>
      <c r="W10" s="33"/>
      <c r="X10" s="220"/>
    </row>
    <row r="11" spans="1:24" ht="15" thickBot="1">
      <c r="A11" s="233" t="s">
        <v>297</v>
      </c>
      <c r="B11" s="234"/>
      <c r="C11" s="235">
        <v>41354</v>
      </c>
      <c r="D11" s="236" t="s">
        <v>298</v>
      </c>
      <c r="E11" s="231">
        <v>41386</v>
      </c>
      <c r="F11" s="33"/>
      <c r="G11" s="220"/>
      <c r="H11" s="220"/>
      <c r="I11" s="220"/>
      <c r="J11" s="33"/>
      <c r="K11" s="33"/>
      <c r="L11" s="33"/>
      <c r="M11" s="33"/>
      <c r="N11" s="51"/>
      <c r="O11" s="33"/>
      <c r="P11" s="33"/>
      <c r="Q11" s="33"/>
      <c r="R11" s="220"/>
      <c r="S11" s="33"/>
      <c r="T11" s="33"/>
      <c r="U11" s="33"/>
      <c r="V11" s="51"/>
      <c r="W11" s="33"/>
      <c r="X11" s="220"/>
    </row>
    <row r="12" spans="1:24" ht="15" thickBot="1">
      <c r="A12" s="218" t="s">
        <v>299</v>
      </c>
      <c r="B12" s="134"/>
      <c r="C12" s="237"/>
      <c r="D12" s="237"/>
      <c r="E12" s="219"/>
      <c r="F12" s="33"/>
      <c r="G12" s="220"/>
      <c r="H12" s="220"/>
      <c r="I12" s="220"/>
      <c r="J12" s="33"/>
      <c r="K12" s="33"/>
      <c r="L12" s="33"/>
      <c r="M12" s="33"/>
      <c r="N12" s="51"/>
      <c r="O12" s="33"/>
      <c r="P12" s="33"/>
      <c r="Q12" s="33"/>
      <c r="R12" s="220"/>
      <c r="S12" s="33"/>
      <c r="T12" s="33"/>
      <c r="U12" s="33"/>
      <c r="V12" s="51"/>
      <c r="W12" s="33"/>
      <c r="X12" s="220"/>
    </row>
    <row r="13" spans="1:24" ht="15" thickBot="1">
      <c r="A13" s="238">
        <f>E11</f>
        <v>41386</v>
      </c>
      <c r="B13" s="134"/>
      <c r="C13" s="237"/>
      <c r="D13" s="237"/>
      <c r="E13" s="219"/>
      <c r="F13" s="33"/>
      <c r="G13" s="220"/>
      <c r="H13" s="220"/>
      <c r="I13" s="220"/>
      <c r="J13" s="33"/>
      <c r="K13" s="33"/>
      <c r="L13" s="33"/>
      <c r="M13" s="33"/>
      <c r="N13" s="51"/>
      <c r="O13" s="33"/>
      <c r="P13" s="33"/>
      <c r="Q13" s="33"/>
      <c r="R13" s="220"/>
      <c r="S13" s="33"/>
      <c r="T13" s="33"/>
      <c r="U13" s="33"/>
      <c r="V13" s="51"/>
      <c r="W13" s="33"/>
      <c r="X13" s="220"/>
    </row>
    <row r="14" spans="1:24" s="31" customFormat="1" ht="35" customHeight="1">
      <c r="A14" s="114" t="s">
        <v>370</v>
      </c>
      <c r="B14" s="239" t="s">
        <v>108</v>
      </c>
      <c r="C14" s="114" t="s">
        <v>301</v>
      </c>
      <c r="D14" s="114" t="s">
        <v>302</v>
      </c>
      <c r="E14" s="239" t="s">
        <v>303</v>
      </c>
      <c r="F14" s="114" t="s">
        <v>304</v>
      </c>
      <c r="G14" s="115" t="s">
        <v>305</v>
      </c>
      <c r="H14" s="115" t="s">
        <v>306</v>
      </c>
      <c r="I14" s="115" t="s">
        <v>307</v>
      </c>
      <c r="J14" s="114" t="s">
        <v>308</v>
      </c>
      <c r="K14" s="114" t="s">
        <v>309</v>
      </c>
      <c r="L14" s="114" t="s">
        <v>310</v>
      </c>
      <c r="M14" s="114" t="s">
        <v>311</v>
      </c>
      <c r="N14" s="114" t="s">
        <v>312</v>
      </c>
      <c r="O14" s="114" t="s">
        <v>313</v>
      </c>
      <c r="P14" s="114" t="s">
        <v>314</v>
      </c>
      <c r="Q14" s="114" t="s">
        <v>315</v>
      </c>
      <c r="R14" s="115" t="s">
        <v>316</v>
      </c>
      <c r="S14" s="114" t="s">
        <v>317</v>
      </c>
      <c r="T14" s="114" t="s">
        <v>318</v>
      </c>
      <c r="U14" s="114" t="s">
        <v>319</v>
      </c>
      <c r="V14" s="114" t="s">
        <v>320</v>
      </c>
      <c r="W14" s="114" t="s">
        <v>321</v>
      </c>
      <c r="X14" s="115" t="s">
        <v>322</v>
      </c>
    </row>
    <row r="15" spans="1:24" s="247" customFormat="1" ht="15.5" customHeight="1">
      <c r="A15" s="117">
        <v>143027007</v>
      </c>
      <c r="B15" s="240" t="s">
        <v>109</v>
      </c>
      <c r="C15" s="241" t="s">
        <v>324</v>
      </c>
      <c r="D15" s="242" t="s">
        <v>325</v>
      </c>
      <c r="E15" s="240" t="s">
        <v>326</v>
      </c>
      <c r="F15" s="242" t="s">
        <v>325</v>
      </c>
      <c r="G15" s="243">
        <v>22.49</v>
      </c>
      <c r="H15" s="243">
        <v>0</v>
      </c>
      <c r="I15" s="243">
        <v>22.49</v>
      </c>
      <c r="J15" s="244">
        <v>41383</v>
      </c>
      <c r="K15" s="244">
        <v>41380</v>
      </c>
      <c r="L15" s="245">
        <v>32</v>
      </c>
      <c r="M15" s="241" t="s">
        <v>327</v>
      </c>
      <c r="N15" s="246" t="s">
        <v>328</v>
      </c>
      <c r="O15" s="245">
        <v>51</v>
      </c>
      <c r="R15" s="243">
        <v>24.14</v>
      </c>
      <c r="U15" s="242" t="s">
        <v>325</v>
      </c>
      <c r="V15" s="248" t="s">
        <v>325</v>
      </c>
      <c r="X15" s="243">
        <v>0</v>
      </c>
    </row>
    <row r="16" spans="1:24" s="247" customFormat="1" ht="15.5" customHeight="1">
      <c r="A16" s="117">
        <v>173880101</v>
      </c>
      <c r="B16" s="240" t="s">
        <v>109</v>
      </c>
      <c r="C16" s="241" t="s">
        <v>329</v>
      </c>
      <c r="D16" s="242" t="s">
        <v>325</v>
      </c>
      <c r="E16" s="240" t="s">
        <v>330</v>
      </c>
      <c r="F16" s="242" t="s">
        <v>325</v>
      </c>
      <c r="G16" s="243">
        <v>10.29</v>
      </c>
      <c r="H16" s="243">
        <v>0</v>
      </c>
      <c r="I16" s="243">
        <v>10.29</v>
      </c>
      <c r="J16" s="244">
        <v>41383</v>
      </c>
      <c r="K16" s="244">
        <v>41383</v>
      </c>
      <c r="L16" s="245">
        <v>30</v>
      </c>
      <c r="M16" s="241" t="s">
        <v>327</v>
      </c>
      <c r="N16" s="248" t="s">
        <v>325</v>
      </c>
      <c r="O16" s="245">
        <v>55</v>
      </c>
      <c r="R16" s="243">
        <v>10.29</v>
      </c>
      <c r="U16" s="242" t="s">
        <v>325</v>
      </c>
      <c r="V16" s="248" t="s">
        <v>325</v>
      </c>
      <c r="X16" s="243">
        <v>0</v>
      </c>
    </row>
    <row r="17" spans="1:24" s="247" customFormat="1" ht="15.5" customHeight="1">
      <c r="A17" s="117">
        <v>208811116</v>
      </c>
      <c r="B17" s="240" t="s">
        <v>109</v>
      </c>
      <c r="C17" s="241" t="s">
        <v>331</v>
      </c>
      <c r="D17" s="242" t="s">
        <v>325</v>
      </c>
      <c r="E17" s="240" t="s">
        <v>332</v>
      </c>
      <c r="F17" s="242" t="s">
        <v>325</v>
      </c>
      <c r="G17" s="243">
        <v>195.71</v>
      </c>
      <c r="H17" s="243">
        <v>0</v>
      </c>
      <c r="I17" s="243">
        <v>195.71</v>
      </c>
      <c r="J17" s="244">
        <v>41376</v>
      </c>
      <c r="K17" s="244">
        <v>41373</v>
      </c>
      <c r="L17" s="245">
        <v>32</v>
      </c>
      <c r="M17" s="241" t="s">
        <v>327</v>
      </c>
      <c r="N17" s="246" t="s">
        <v>333</v>
      </c>
      <c r="O17" s="245">
        <v>2326</v>
      </c>
      <c r="P17" s="245">
        <v>10.6</v>
      </c>
      <c r="Q17" s="245">
        <v>0.28572130503144655</v>
      </c>
      <c r="R17" s="243">
        <v>198.64</v>
      </c>
      <c r="U17" s="242" t="s">
        <v>325</v>
      </c>
      <c r="V17" s="248" t="s">
        <v>325</v>
      </c>
      <c r="X17" s="243">
        <v>0</v>
      </c>
    </row>
    <row r="18" spans="1:24" s="247" customFormat="1" ht="15.5" customHeight="1">
      <c r="A18" s="117">
        <v>248811109</v>
      </c>
      <c r="B18" s="240" t="s">
        <v>109</v>
      </c>
      <c r="C18" s="241" t="s">
        <v>334</v>
      </c>
      <c r="D18" s="242" t="s">
        <v>325</v>
      </c>
      <c r="E18" s="249" t="s">
        <v>325</v>
      </c>
      <c r="F18" s="241" t="s">
        <v>335</v>
      </c>
      <c r="G18" s="243">
        <v>208.39</v>
      </c>
      <c r="H18" s="243">
        <v>0</v>
      </c>
      <c r="I18" s="243">
        <v>208.39</v>
      </c>
      <c r="J18" s="244">
        <v>41376</v>
      </c>
      <c r="M18" s="242" t="s">
        <v>325</v>
      </c>
      <c r="N18" s="248" t="s">
        <v>325</v>
      </c>
      <c r="R18" s="243">
        <v>0</v>
      </c>
      <c r="S18" s="244">
        <v>41373</v>
      </c>
      <c r="T18" s="245">
        <v>31</v>
      </c>
      <c r="U18" s="241" t="s">
        <v>327</v>
      </c>
      <c r="V18" s="246" t="s">
        <v>336</v>
      </c>
      <c r="W18" s="245">
        <v>679</v>
      </c>
      <c r="X18" s="243">
        <v>208.39</v>
      </c>
    </row>
    <row r="19" spans="1:24" s="247" customFormat="1" ht="15.5" customHeight="1">
      <c r="A19" s="117">
        <v>288811101</v>
      </c>
      <c r="B19" s="240" t="s">
        <v>109</v>
      </c>
      <c r="C19" s="241" t="s">
        <v>337</v>
      </c>
      <c r="D19" s="242" t="s">
        <v>325</v>
      </c>
      <c r="E19" s="240" t="s">
        <v>332</v>
      </c>
      <c r="F19" s="242" t="s">
        <v>325</v>
      </c>
      <c r="G19" s="243">
        <v>411.93</v>
      </c>
      <c r="H19" s="243">
        <v>0</v>
      </c>
      <c r="I19" s="243">
        <v>411.93</v>
      </c>
      <c r="J19" s="244">
        <v>41376</v>
      </c>
      <c r="K19" s="244">
        <v>41373</v>
      </c>
      <c r="L19" s="245">
        <v>32</v>
      </c>
      <c r="M19" s="241" t="s">
        <v>327</v>
      </c>
      <c r="N19" s="246" t="s">
        <v>338</v>
      </c>
      <c r="O19" s="245">
        <v>8240</v>
      </c>
      <c r="P19" s="245">
        <v>24</v>
      </c>
      <c r="Q19" s="245">
        <v>0.4470486111111111</v>
      </c>
      <c r="R19" s="243">
        <v>411.93</v>
      </c>
      <c r="U19" s="242" t="s">
        <v>325</v>
      </c>
      <c r="V19" s="248" t="s">
        <v>325</v>
      </c>
      <c r="X19" s="243">
        <v>0</v>
      </c>
    </row>
    <row r="20" spans="1:24" s="247" customFormat="1" ht="15.5" customHeight="1">
      <c r="A20" s="117">
        <v>293879106</v>
      </c>
      <c r="B20" s="240" t="s">
        <v>109</v>
      </c>
      <c r="C20" s="241" t="s">
        <v>339</v>
      </c>
      <c r="D20" s="241" t="s">
        <v>340</v>
      </c>
      <c r="E20" s="240" t="s">
        <v>330</v>
      </c>
      <c r="F20" s="242" t="s">
        <v>325</v>
      </c>
      <c r="G20" s="243">
        <v>252.38</v>
      </c>
      <c r="H20" s="243">
        <v>0</v>
      </c>
      <c r="I20" s="243">
        <v>252.38</v>
      </c>
      <c r="J20" s="244">
        <v>41383</v>
      </c>
      <c r="K20" s="244">
        <v>41383</v>
      </c>
      <c r="L20" s="245">
        <v>30</v>
      </c>
      <c r="M20" s="241" t="s">
        <v>327</v>
      </c>
      <c r="N20" s="248" t="s">
        <v>325</v>
      </c>
      <c r="O20" s="245">
        <v>693</v>
      </c>
      <c r="R20" s="243">
        <v>255.61</v>
      </c>
      <c r="U20" s="242" t="s">
        <v>325</v>
      </c>
      <c r="V20" s="248" t="s">
        <v>325</v>
      </c>
      <c r="X20" s="243">
        <v>0</v>
      </c>
    </row>
    <row r="21" spans="1:24" s="247" customFormat="1" ht="15.5" customHeight="1">
      <c r="A21" s="117">
        <v>308809118</v>
      </c>
      <c r="B21" s="240" t="s">
        <v>109</v>
      </c>
      <c r="C21" s="241" t="s">
        <v>341</v>
      </c>
      <c r="D21" s="242" t="s">
        <v>325</v>
      </c>
      <c r="E21" s="240" t="s">
        <v>342</v>
      </c>
      <c r="F21" s="241" t="s">
        <v>236</v>
      </c>
      <c r="G21" s="243">
        <v>385.37</v>
      </c>
      <c r="H21" s="243">
        <v>0</v>
      </c>
      <c r="I21" s="243">
        <v>385.37</v>
      </c>
      <c r="J21" s="244">
        <v>41376</v>
      </c>
      <c r="K21" s="244">
        <v>41373</v>
      </c>
      <c r="L21" s="245">
        <v>31</v>
      </c>
      <c r="M21" s="241" t="s">
        <v>327</v>
      </c>
      <c r="N21" s="246" t="s">
        <v>237</v>
      </c>
      <c r="O21" s="245">
        <v>719</v>
      </c>
      <c r="R21" s="243">
        <v>58.7</v>
      </c>
      <c r="S21" s="244">
        <v>41373</v>
      </c>
      <c r="T21" s="245">
        <v>31</v>
      </c>
      <c r="U21" s="241" t="s">
        <v>327</v>
      </c>
      <c r="V21" s="246" t="s">
        <v>238</v>
      </c>
      <c r="W21" s="245">
        <v>431</v>
      </c>
      <c r="X21" s="243">
        <v>326.67</v>
      </c>
    </row>
    <row r="22" spans="1:24" s="247" customFormat="1" ht="15.5" customHeight="1">
      <c r="A22" s="117">
        <v>375074007</v>
      </c>
      <c r="B22" s="240" t="s">
        <v>109</v>
      </c>
      <c r="C22" s="241" t="s">
        <v>239</v>
      </c>
      <c r="D22" s="242" t="s">
        <v>325</v>
      </c>
      <c r="E22" s="240" t="s">
        <v>326</v>
      </c>
      <c r="F22" s="242" t="s">
        <v>325</v>
      </c>
      <c r="G22" s="243">
        <v>20.67</v>
      </c>
      <c r="H22" s="243">
        <v>0</v>
      </c>
      <c r="I22" s="243">
        <v>20.67</v>
      </c>
      <c r="J22" s="244">
        <v>41383</v>
      </c>
      <c r="K22" s="244">
        <v>41381</v>
      </c>
      <c r="L22" s="245">
        <v>29</v>
      </c>
      <c r="M22" s="241" t="s">
        <v>327</v>
      </c>
      <c r="N22" s="246" t="s">
        <v>241</v>
      </c>
      <c r="O22" s="245">
        <v>1</v>
      </c>
      <c r="R22" s="243">
        <v>20.67</v>
      </c>
      <c r="U22" s="242" t="s">
        <v>325</v>
      </c>
      <c r="V22" s="248" t="s">
        <v>325</v>
      </c>
      <c r="X22" s="243">
        <v>0</v>
      </c>
    </row>
    <row r="23" spans="1:24" s="247" customFormat="1" ht="15.5" customHeight="1">
      <c r="A23" s="117">
        <v>783104003</v>
      </c>
      <c r="B23" s="240" t="s">
        <v>109</v>
      </c>
      <c r="C23" s="241" t="s">
        <v>242</v>
      </c>
      <c r="D23" s="242" t="s">
        <v>325</v>
      </c>
      <c r="E23" s="240" t="s">
        <v>326</v>
      </c>
      <c r="F23" s="242" t="s">
        <v>325</v>
      </c>
      <c r="G23" s="243">
        <v>22.06</v>
      </c>
      <c r="H23" s="243">
        <v>0</v>
      </c>
      <c r="I23" s="243">
        <v>22.06</v>
      </c>
      <c r="J23" s="244">
        <v>41376</v>
      </c>
      <c r="K23" s="244">
        <v>41373</v>
      </c>
      <c r="L23" s="245">
        <v>32</v>
      </c>
      <c r="M23" s="241" t="s">
        <v>327</v>
      </c>
      <c r="N23" s="246" t="s">
        <v>243</v>
      </c>
      <c r="O23" s="245">
        <v>20</v>
      </c>
      <c r="R23" s="243">
        <v>22.06</v>
      </c>
      <c r="U23" s="242" t="s">
        <v>325</v>
      </c>
      <c r="V23" s="248" t="s">
        <v>325</v>
      </c>
      <c r="X23" s="243">
        <v>0</v>
      </c>
    </row>
    <row r="24" spans="1:24" s="247" customFormat="1" ht="15.5" customHeight="1">
      <c r="A24" s="117">
        <v>852028007</v>
      </c>
      <c r="B24" s="240" t="s">
        <v>109</v>
      </c>
      <c r="C24" s="241" t="s">
        <v>244</v>
      </c>
      <c r="D24" s="242" t="s">
        <v>325</v>
      </c>
      <c r="E24" s="249" t="s">
        <v>325</v>
      </c>
      <c r="F24" s="241" t="s">
        <v>335</v>
      </c>
      <c r="G24" s="243">
        <v>86.47</v>
      </c>
      <c r="H24" s="243">
        <v>0</v>
      </c>
      <c r="I24" s="243">
        <v>86.47</v>
      </c>
      <c r="J24" s="244">
        <v>41383</v>
      </c>
      <c r="M24" s="242" t="s">
        <v>325</v>
      </c>
      <c r="N24" s="248" t="s">
        <v>325</v>
      </c>
      <c r="R24" s="243">
        <v>0</v>
      </c>
      <c r="S24" s="244">
        <v>41380</v>
      </c>
      <c r="T24" s="245">
        <v>32</v>
      </c>
      <c r="U24" s="241" t="s">
        <v>327</v>
      </c>
      <c r="V24" s="246" t="s">
        <v>245</v>
      </c>
      <c r="W24" s="245">
        <v>217</v>
      </c>
      <c r="X24" s="243">
        <v>92.82</v>
      </c>
    </row>
    <row r="25" spans="1:24" s="247" customFormat="1" ht="15.5" customHeight="1">
      <c r="A25" s="117">
        <v>893816110</v>
      </c>
      <c r="B25" s="240" t="s">
        <v>109</v>
      </c>
      <c r="C25" s="241" t="s">
        <v>246</v>
      </c>
      <c r="D25" s="242" t="s">
        <v>325</v>
      </c>
      <c r="E25" s="240" t="s">
        <v>326</v>
      </c>
      <c r="F25" s="242" t="s">
        <v>325</v>
      </c>
      <c r="G25" s="243">
        <v>25.63</v>
      </c>
      <c r="H25" s="243">
        <v>0</v>
      </c>
      <c r="I25" s="243">
        <v>25.63</v>
      </c>
      <c r="J25" s="244">
        <v>41383</v>
      </c>
      <c r="K25" s="244">
        <v>41381</v>
      </c>
      <c r="L25" s="245">
        <v>29</v>
      </c>
      <c r="M25" s="241" t="s">
        <v>327</v>
      </c>
      <c r="N25" s="246" t="s">
        <v>247</v>
      </c>
      <c r="O25" s="245">
        <v>102</v>
      </c>
      <c r="R25" s="243">
        <v>27.54</v>
      </c>
      <c r="U25" s="242" t="s">
        <v>325</v>
      </c>
      <c r="V25" s="248" t="s">
        <v>325</v>
      </c>
      <c r="X25" s="243">
        <v>0</v>
      </c>
    </row>
    <row r="26" spans="1:24" s="247" customFormat="1" ht="15.5" customHeight="1">
      <c r="A26" s="117">
        <v>893819102</v>
      </c>
      <c r="B26" s="240" t="s">
        <v>109</v>
      </c>
      <c r="C26" s="241" t="s">
        <v>248</v>
      </c>
      <c r="D26" s="242" t="s">
        <v>325</v>
      </c>
      <c r="E26" s="249" t="s">
        <v>325</v>
      </c>
      <c r="F26" s="241" t="s">
        <v>335</v>
      </c>
      <c r="G26" s="243">
        <v>63.06</v>
      </c>
      <c r="H26" s="243">
        <v>0</v>
      </c>
      <c r="I26" s="243">
        <v>63.06</v>
      </c>
      <c r="J26" s="244">
        <v>41383</v>
      </c>
      <c r="M26" s="242" t="s">
        <v>325</v>
      </c>
      <c r="N26" s="248" t="s">
        <v>325</v>
      </c>
      <c r="R26" s="243">
        <v>0</v>
      </c>
      <c r="S26" s="244">
        <v>41380</v>
      </c>
      <c r="T26" s="245">
        <v>32</v>
      </c>
      <c r="U26" s="241" t="s">
        <v>327</v>
      </c>
      <c r="V26" s="246" t="s">
        <v>249</v>
      </c>
      <c r="W26" s="245">
        <v>125</v>
      </c>
      <c r="X26" s="243">
        <v>63.06</v>
      </c>
    </row>
    <row r="27" spans="1:24" s="247" customFormat="1" ht="15.5" customHeight="1">
      <c r="A27" s="117">
        <v>913819100</v>
      </c>
      <c r="B27" s="240" t="s">
        <v>109</v>
      </c>
      <c r="C27" s="241" t="s">
        <v>250</v>
      </c>
      <c r="D27" s="242" t="s">
        <v>325</v>
      </c>
      <c r="E27" s="249" t="s">
        <v>325</v>
      </c>
      <c r="F27" s="241" t="s">
        <v>335</v>
      </c>
      <c r="G27" s="243">
        <v>59.49</v>
      </c>
      <c r="H27" s="243">
        <v>0</v>
      </c>
      <c r="I27" s="243">
        <v>59.49</v>
      </c>
      <c r="J27" s="244">
        <v>41383</v>
      </c>
      <c r="M27" s="242" t="s">
        <v>325</v>
      </c>
      <c r="N27" s="248" t="s">
        <v>325</v>
      </c>
      <c r="R27" s="243">
        <v>0</v>
      </c>
      <c r="S27" s="244">
        <v>41380</v>
      </c>
      <c r="T27" s="245">
        <v>32</v>
      </c>
      <c r="U27" s="241" t="s">
        <v>327</v>
      </c>
      <c r="V27" s="246" t="s">
        <v>251</v>
      </c>
      <c r="W27" s="245">
        <v>114</v>
      </c>
      <c r="X27" s="243">
        <v>59.49</v>
      </c>
    </row>
    <row r="28" spans="1:24" s="247" customFormat="1" ht="15.5" customHeight="1">
      <c r="A28" s="117">
        <v>933819115</v>
      </c>
      <c r="B28" s="240" t="s">
        <v>109</v>
      </c>
      <c r="C28" s="241" t="s">
        <v>252</v>
      </c>
      <c r="D28" s="242" t="s">
        <v>325</v>
      </c>
      <c r="E28" s="249" t="s">
        <v>325</v>
      </c>
      <c r="F28" s="241" t="s">
        <v>335</v>
      </c>
      <c r="G28" s="243">
        <v>109.64</v>
      </c>
      <c r="H28" s="243">
        <v>0</v>
      </c>
      <c r="I28" s="243">
        <v>109.64</v>
      </c>
      <c r="J28" s="244">
        <v>41383</v>
      </c>
      <c r="M28" s="242" t="s">
        <v>325</v>
      </c>
      <c r="N28" s="248" t="s">
        <v>325</v>
      </c>
      <c r="R28" s="243">
        <v>0</v>
      </c>
      <c r="S28" s="244">
        <v>41380</v>
      </c>
      <c r="T28" s="245">
        <v>32</v>
      </c>
      <c r="U28" s="241" t="s">
        <v>327</v>
      </c>
      <c r="V28" s="246" t="s">
        <v>253</v>
      </c>
      <c r="W28" s="245">
        <v>269</v>
      </c>
      <c r="X28" s="243">
        <v>109.64</v>
      </c>
    </row>
    <row r="29" spans="1:24" s="247" customFormat="1" ht="15.5" customHeight="1">
      <c r="A29" s="117">
        <v>948810124</v>
      </c>
      <c r="B29" s="240" t="s">
        <v>109</v>
      </c>
      <c r="C29" s="241" t="s">
        <v>254</v>
      </c>
      <c r="D29" s="242" t="s">
        <v>325</v>
      </c>
      <c r="E29" s="240" t="s">
        <v>255</v>
      </c>
      <c r="F29" s="242" t="s">
        <v>325</v>
      </c>
      <c r="G29" s="243">
        <v>88.66</v>
      </c>
      <c r="H29" s="243">
        <v>0</v>
      </c>
      <c r="I29" s="243">
        <v>88.66</v>
      </c>
      <c r="J29" s="244">
        <v>41376</v>
      </c>
      <c r="K29" s="244">
        <v>41373</v>
      </c>
      <c r="L29" s="245">
        <v>32</v>
      </c>
      <c r="M29" s="241" t="s">
        <v>327</v>
      </c>
      <c r="N29" s="246" t="s">
        <v>256</v>
      </c>
      <c r="O29" s="245">
        <v>558</v>
      </c>
      <c r="R29" s="243">
        <v>98.43</v>
      </c>
      <c r="U29" s="242" t="s">
        <v>325</v>
      </c>
      <c r="V29" s="248" t="s">
        <v>325</v>
      </c>
      <c r="X29" s="243">
        <v>0</v>
      </c>
    </row>
    <row r="30" spans="1:24" s="247" customFormat="1" ht="15.5" customHeight="1">
      <c r="A30" s="117">
        <v>1028809119</v>
      </c>
      <c r="B30" s="240" t="s">
        <v>109</v>
      </c>
      <c r="C30" s="241" t="s">
        <v>257</v>
      </c>
      <c r="D30" s="242" t="s">
        <v>325</v>
      </c>
      <c r="E30" s="240" t="s">
        <v>255</v>
      </c>
      <c r="F30" s="242" t="s">
        <v>325</v>
      </c>
      <c r="G30" s="243">
        <v>20.25</v>
      </c>
      <c r="H30" s="243">
        <v>0</v>
      </c>
      <c r="I30" s="243">
        <v>20.25</v>
      </c>
      <c r="J30" s="244">
        <v>41376</v>
      </c>
      <c r="K30" s="244">
        <v>41373</v>
      </c>
      <c r="L30" s="245">
        <v>31</v>
      </c>
      <c r="M30" s="241" t="s">
        <v>327</v>
      </c>
      <c r="N30" s="246" t="s">
        <v>258</v>
      </c>
      <c r="O30" s="245">
        <v>0</v>
      </c>
      <c r="R30" s="243">
        <v>20.62</v>
      </c>
      <c r="U30" s="242" t="s">
        <v>325</v>
      </c>
      <c r="V30" s="248" t="s">
        <v>325</v>
      </c>
      <c r="X30" s="243">
        <v>0</v>
      </c>
    </row>
    <row r="31" spans="1:24" s="247" customFormat="1" ht="15.5" customHeight="1">
      <c r="A31" s="117">
        <v>1133133008</v>
      </c>
      <c r="B31" s="240" t="s">
        <v>109</v>
      </c>
      <c r="C31" s="241" t="s">
        <v>259</v>
      </c>
      <c r="D31" s="242" t="s">
        <v>325</v>
      </c>
      <c r="E31" s="240" t="s">
        <v>326</v>
      </c>
      <c r="F31" s="242" t="s">
        <v>325</v>
      </c>
      <c r="G31" s="243">
        <v>64.22</v>
      </c>
      <c r="H31" s="243">
        <v>32.6</v>
      </c>
      <c r="I31" s="243">
        <v>31.62</v>
      </c>
      <c r="J31" s="244">
        <v>41369</v>
      </c>
      <c r="K31" s="244">
        <v>41366</v>
      </c>
      <c r="L31" s="245">
        <v>29</v>
      </c>
      <c r="M31" s="241" t="s">
        <v>327</v>
      </c>
      <c r="N31" s="246" t="s">
        <v>260</v>
      </c>
      <c r="O31" s="245">
        <v>149</v>
      </c>
      <c r="R31" s="243">
        <v>31.62</v>
      </c>
      <c r="U31" s="242" t="s">
        <v>325</v>
      </c>
      <c r="V31" s="248" t="s">
        <v>325</v>
      </c>
      <c r="X31" s="243">
        <v>0</v>
      </c>
    </row>
    <row r="32" spans="1:24" s="247" customFormat="1" ht="15.5" customHeight="1">
      <c r="A32" s="117">
        <v>1133819101</v>
      </c>
      <c r="B32" s="240" t="s">
        <v>109</v>
      </c>
      <c r="C32" s="241" t="s">
        <v>261</v>
      </c>
      <c r="D32" s="242" t="s">
        <v>325</v>
      </c>
      <c r="E32" s="240" t="s">
        <v>326</v>
      </c>
      <c r="F32" s="242" t="s">
        <v>325</v>
      </c>
      <c r="G32" s="243">
        <v>52.88</v>
      </c>
      <c r="H32" s="243">
        <v>0</v>
      </c>
      <c r="I32" s="243">
        <v>52.88</v>
      </c>
      <c r="J32" s="244">
        <v>41383</v>
      </c>
      <c r="K32" s="244">
        <v>41380</v>
      </c>
      <c r="L32" s="245">
        <v>32</v>
      </c>
      <c r="M32" s="241" t="s">
        <v>327</v>
      </c>
      <c r="N32" s="246" t="s">
        <v>262</v>
      </c>
      <c r="O32" s="245">
        <v>468</v>
      </c>
      <c r="R32" s="243">
        <v>52.88</v>
      </c>
      <c r="U32" s="242" t="s">
        <v>325</v>
      </c>
      <c r="V32" s="248" t="s">
        <v>325</v>
      </c>
      <c r="X32" s="243">
        <v>0</v>
      </c>
    </row>
    <row r="33" spans="1:24" s="247" customFormat="1" ht="15.5" customHeight="1">
      <c r="A33" s="117">
        <v>1193808115</v>
      </c>
      <c r="B33" s="240" t="s">
        <v>109</v>
      </c>
      <c r="C33" s="241" t="s">
        <v>263</v>
      </c>
      <c r="D33" s="242" t="s">
        <v>325</v>
      </c>
      <c r="E33" s="240" t="s">
        <v>326</v>
      </c>
      <c r="F33" s="242" t="s">
        <v>325</v>
      </c>
      <c r="G33" s="243">
        <v>53.39</v>
      </c>
      <c r="H33" s="243">
        <v>0</v>
      </c>
      <c r="I33" s="243">
        <v>53.39</v>
      </c>
      <c r="J33" s="244">
        <v>41383</v>
      </c>
      <c r="K33" s="244">
        <v>41380</v>
      </c>
      <c r="L33" s="245">
        <v>32</v>
      </c>
      <c r="M33" s="241" t="s">
        <v>327</v>
      </c>
      <c r="N33" s="246" t="s">
        <v>264</v>
      </c>
      <c r="O33" s="245">
        <v>522</v>
      </c>
      <c r="R33" s="243">
        <v>56.61</v>
      </c>
      <c r="U33" s="242" t="s">
        <v>325</v>
      </c>
      <c r="V33" s="248" t="s">
        <v>325</v>
      </c>
      <c r="X33" s="243">
        <v>0</v>
      </c>
    </row>
    <row r="34" spans="1:24" s="247" customFormat="1" ht="15.5" customHeight="1">
      <c r="A34" s="117">
        <v>1492627005</v>
      </c>
      <c r="B34" s="240" t="s">
        <v>109</v>
      </c>
      <c r="C34" s="241" t="s">
        <v>265</v>
      </c>
      <c r="D34" s="242" t="s">
        <v>325</v>
      </c>
      <c r="E34" s="240" t="s">
        <v>326</v>
      </c>
      <c r="F34" s="242" t="s">
        <v>325</v>
      </c>
      <c r="G34" s="243">
        <v>24.49</v>
      </c>
      <c r="H34" s="243">
        <v>0</v>
      </c>
      <c r="I34" s="243">
        <v>24.49</v>
      </c>
      <c r="J34" s="244">
        <v>41376</v>
      </c>
      <c r="K34" s="244">
        <v>41373</v>
      </c>
      <c r="L34" s="245">
        <v>32</v>
      </c>
      <c r="M34" s="241" t="s">
        <v>327</v>
      </c>
      <c r="N34" s="246" t="s">
        <v>266</v>
      </c>
      <c r="O34" s="245">
        <v>94</v>
      </c>
      <c r="R34" s="243">
        <v>27.33</v>
      </c>
      <c r="U34" s="242" t="s">
        <v>325</v>
      </c>
      <c r="V34" s="248" t="s">
        <v>325</v>
      </c>
      <c r="X34" s="243">
        <v>0</v>
      </c>
    </row>
    <row r="35" spans="1:24" s="247" customFormat="1" ht="15.5" customHeight="1">
      <c r="A35" s="117">
        <v>1513818115</v>
      </c>
      <c r="B35" s="240" t="s">
        <v>109</v>
      </c>
      <c r="C35" s="241" t="s">
        <v>267</v>
      </c>
      <c r="D35" s="242" t="s">
        <v>325</v>
      </c>
      <c r="E35" s="240" t="s">
        <v>326</v>
      </c>
      <c r="F35" s="242" t="s">
        <v>325</v>
      </c>
      <c r="G35" s="243">
        <v>32.24</v>
      </c>
      <c r="H35" s="243">
        <v>0</v>
      </c>
      <c r="I35" s="243">
        <v>32.24</v>
      </c>
      <c r="J35" s="244">
        <v>41383</v>
      </c>
      <c r="K35" s="244">
        <v>41380</v>
      </c>
      <c r="L35" s="245">
        <v>32</v>
      </c>
      <c r="M35" s="241" t="s">
        <v>327</v>
      </c>
      <c r="N35" s="246" t="s">
        <v>268</v>
      </c>
      <c r="O35" s="245">
        <v>205</v>
      </c>
      <c r="R35" s="243">
        <v>34.76</v>
      </c>
      <c r="U35" s="242" t="s">
        <v>325</v>
      </c>
      <c r="V35" s="248" t="s">
        <v>325</v>
      </c>
      <c r="X35" s="243">
        <v>0</v>
      </c>
    </row>
    <row r="36" spans="1:24" s="247" customFormat="1" ht="15.5" customHeight="1">
      <c r="A36" s="117">
        <v>1608811106</v>
      </c>
      <c r="B36" s="240" t="s">
        <v>109</v>
      </c>
      <c r="C36" s="241" t="s">
        <v>337</v>
      </c>
      <c r="D36" s="242" t="s">
        <v>325</v>
      </c>
      <c r="E36" s="240" t="s">
        <v>332</v>
      </c>
      <c r="F36" s="242" t="s">
        <v>325</v>
      </c>
      <c r="G36" s="243">
        <v>147.71</v>
      </c>
      <c r="H36" s="243">
        <v>0</v>
      </c>
      <c r="I36" s="243">
        <v>147.71</v>
      </c>
      <c r="J36" s="244">
        <v>41376</v>
      </c>
      <c r="K36" s="244">
        <v>41374</v>
      </c>
      <c r="L36" s="245">
        <v>29</v>
      </c>
      <c r="M36" s="241" t="s">
        <v>327</v>
      </c>
      <c r="N36" s="246" t="s">
        <v>111</v>
      </c>
      <c r="O36" s="245">
        <v>1375</v>
      </c>
      <c r="P36" s="245">
        <v>7.1</v>
      </c>
      <c r="Q36" s="245">
        <v>0.2782499595272786</v>
      </c>
      <c r="R36" s="243">
        <v>147.71</v>
      </c>
      <c r="U36" s="242" t="s">
        <v>325</v>
      </c>
      <c r="V36" s="248" t="s">
        <v>325</v>
      </c>
      <c r="X36" s="243">
        <v>0</v>
      </c>
    </row>
    <row r="37" spans="1:24" s="247" customFormat="1" ht="15.5" customHeight="1">
      <c r="A37" s="117">
        <v>1653819107</v>
      </c>
      <c r="B37" s="240" t="s">
        <v>109</v>
      </c>
      <c r="C37" s="241" t="s">
        <v>270</v>
      </c>
      <c r="D37" s="242" t="s">
        <v>325</v>
      </c>
      <c r="E37" s="240" t="s">
        <v>326</v>
      </c>
      <c r="F37" s="242" t="s">
        <v>325</v>
      </c>
      <c r="G37" s="243">
        <v>83.35</v>
      </c>
      <c r="H37" s="243">
        <v>0</v>
      </c>
      <c r="I37" s="243">
        <v>83.35</v>
      </c>
      <c r="J37" s="244">
        <v>41383</v>
      </c>
      <c r="K37" s="244">
        <v>41380</v>
      </c>
      <c r="L37" s="245">
        <v>32</v>
      </c>
      <c r="M37" s="241" t="s">
        <v>327</v>
      </c>
      <c r="N37" s="246" t="s">
        <v>271</v>
      </c>
      <c r="O37" s="245">
        <v>910</v>
      </c>
      <c r="R37" s="243">
        <v>83.35</v>
      </c>
      <c r="U37" s="242" t="s">
        <v>325</v>
      </c>
      <c r="V37" s="248" t="s">
        <v>325</v>
      </c>
      <c r="X37" s="243">
        <v>0</v>
      </c>
    </row>
    <row r="38" spans="1:24" s="247" customFormat="1" ht="15.5" customHeight="1">
      <c r="A38" s="117">
        <v>1833820108</v>
      </c>
      <c r="B38" s="240" t="s">
        <v>109</v>
      </c>
      <c r="C38" s="241" t="s">
        <v>272</v>
      </c>
      <c r="D38" s="242" t="s">
        <v>325</v>
      </c>
      <c r="E38" s="240" t="s">
        <v>326</v>
      </c>
      <c r="F38" s="242" t="s">
        <v>325</v>
      </c>
      <c r="G38" s="243">
        <v>85.22</v>
      </c>
      <c r="H38" s="243">
        <v>0</v>
      </c>
      <c r="I38" s="243">
        <v>85.22</v>
      </c>
      <c r="J38" s="244">
        <v>41383</v>
      </c>
      <c r="K38" s="244">
        <v>41380</v>
      </c>
      <c r="L38" s="245">
        <v>32</v>
      </c>
      <c r="M38" s="241" t="s">
        <v>327</v>
      </c>
      <c r="N38" s="246" t="s">
        <v>273</v>
      </c>
      <c r="O38" s="245">
        <v>937</v>
      </c>
      <c r="R38" s="243">
        <v>85.22</v>
      </c>
      <c r="U38" s="242" t="s">
        <v>325</v>
      </c>
      <c r="V38" s="248" t="s">
        <v>325</v>
      </c>
      <c r="X38" s="243">
        <v>0</v>
      </c>
    </row>
    <row r="39" spans="1:24" s="247" customFormat="1" ht="15.5" customHeight="1">
      <c r="A39" s="117">
        <v>1851009009</v>
      </c>
      <c r="B39" s="240" t="s">
        <v>109</v>
      </c>
      <c r="C39" s="241" t="s">
        <v>274</v>
      </c>
      <c r="D39" s="242" t="s">
        <v>325</v>
      </c>
      <c r="E39" s="240" t="s">
        <v>326</v>
      </c>
      <c r="F39" s="241" t="s">
        <v>325</v>
      </c>
      <c r="G39" s="243">
        <v>52.88</v>
      </c>
      <c r="H39" s="243">
        <v>0</v>
      </c>
      <c r="I39" s="243">
        <v>52.88</v>
      </c>
      <c r="J39" s="244">
        <v>41383</v>
      </c>
      <c r="K39" s="244">
        <v>41380</v>
      </c>
      <c r="L39" s="245">
        <v>32</v>
      </c>
      <c r="M39" s="241" t="s">
        <v>327</v>
      </c>
      <c r="N39" s="246" t="s">
        <v>275</v>
      </c>
      <c r="O39" s="245">
        <v>468</v>
      </c>
      <c r="R39" s="243">
        <v>52.88</v>
      </c>
      <c r="U39" s="241" t="s">
        <v>325</v>
      </c>
      <c r="V39" s="246" t="s">
        <v>325</v>
      </c>
      <c r="X39" s="243">
        <v>0</v>
      </c>
    </row>
    <row r="40" spans="1:24" s="247" customFormat="1" ht="15.5" customHeight="1">
      <c r="A40" s="117">
        <v>1933810131</v>
      </c>
      <c r="B40" s="240" t="s">
        <v>109</v>
      </c>
      <c r="C40" s="241" t="s">
        <v>276</v>
      </c>
      <c r="D40" s="241" t="s">
        <v>325</v>
      </c>
      <c r="E40" s="240" t="s">
        <v>332</v>
      </c>
      <c r="F40" s="241" t="s">
        <v>277</v>
      </c>
      <c r="G40" s="243">
        <v>386.28</v>
      </c>
      <c r="H40" s="243">
        <v>0</v>
      </c>
      <c r="I40" s="243">
        <v>386.28</v>
      </c>
      <c r="J40" s="244">
        <v>41383</v>
      </c>
      <c r="K40" s="244">
        <v>41380</v>
      </c>
      <c r="L40" s="245">
        <v>32</v>
      </c>
      <c r="M40" s="241" t="s">
        <v>327</v>
      </c>
      <c r="N40" s="246" t="s">
        <v>278</v>
      </c>
      <c r="O40" s="245">
        <v>496</v>
      </c>
      <c r="P40" s="245">
        <v>4.9000000000000004</v>
      </c>
      <c r="Q40" s="245">
        <v>0.13180272108843538</v>
      </c>
      <c r="R40" s="243">
        <v>112.38</v>
      </c>
      <c r="S40" s="244">
        <v>41380</v>
      </c>
      <c r="T40" s="245">
        <v>32</v>
      </c>
      <c r="U40" s="241" t="s">
        <v>327</v>
      </c>
      <c r="V40" s="246" t="s">
        <v>279</v>
      </c>
      <c r="W40" s="245">
        <v>281</v>
      </c>
      <c r="X40" s="243">
        <v>273.89999999999998</v>
      </c>
    </row>
    <row r="41" spans="1:24" s="247" customFormat="1" ht="15.5" customHeight="1">
      <c r="A41" s="117">
        <v>2133819102</v>
      </c>
      <c r="B41" s="240" t="s">
        <v>109</v>
      </c>
      <c r="C41" s="241" t="s">
        <v>280</v>
      </c>
      <c r="D41" s="241" t="s">
        <v>325</v>
      </c>
      <c r="E41" s="240" t="s">
        <v>332</v>
      </c>
      <c r="F41" s="241" t="s">
        <v>325</v>
      </c>
      <c r="G41" s="243">
        <v>162.44999999999999</v>
      </c>
      <c r="H41" s="243">
        <v>0</v>
      </c>
      <c r="I41" s="243">
        <v>162.44999999999999</v>
      </c>
      <c r="J41" s="244">
        <v>41383</v>
      </c>
      <c r="K41" s="244">
        <v>41380</v>
      </c>
      <c r="L41" s="245">
        <v>27</v>
      </c>
      <c r="M41" s="241" t="s">
        <v>327</v>
      </c>
      <c r="N41" s="246" t="s">
        <v>112</v>
      </c>
      <c r="O41" s="245">
        <v>1274</v>
      </c>
      <c r="P41" s="245">
        <v>8.8000000000000007</v>
      </c>
      <c r="Q41" s="245">
        <v>0.22341470258136925</v>
      </c>
      <c r="R41" s="243">
        <v>162.44999999999999</v>
      </c>
      <c r="U41" s="241" t="s">
        <v>325</v>
      </c>
      <c r="V41" s="246" t="s">
        <v>325</v>
      </c>
      <c r="X41" s="243">
        <v>0</v>
      </c>
    </row>
    <row r="42" spans="1:24" s="247" customFormat="1" ht="15.5" customHeight="1">
      <c r="A42" s="117">
        <v>2133821120</v>
      </c>
      <c r="B42" s="240" t="s">
        <v>109</v>
      </c>
      <c r="C42" s="241" t="s">
        <v>194</v>
      </c>
      <c r="D42" s="241" t="s">
        <v>325</v>
      </c>
      <c r="E42" s="240" t="s">
        <v>326</v>
      </c>
      <c r="F42" s="241" t="s">
        <v>325</v>
      </c>
      <c r="G42" s="243">
        <v>117.25</v>
      </c>
      <c r="H42" s="243">
        <v>0</v>
      </c>
      <c r="I42" s="243">
        <v>117.25</v>
      </c>
      <c r="J42" s="244">
        <v>41383</v>
      </c>
      <c r="K42" s="244">
        <v>41381</v>
      </c>
      <c r="L42" s="245">
        <v>29</v>
      </c>
      <c r="M42" s="241" t="s">
        <v>327</v>
      </c>
      <c r="N42" s="246" t="s">
        <v>195</v>
      </c>
      <c r="O42" s="245">
        <v>1529</v>
      </c>
      <c r="R42" s="243">
        <v>124.5</v>
      </c>
      <c r="U42" s="241" t="s">
        <v>325</v>
      </c>
      <c r="V42" s="246" t="s">
        <v>325</v>
      </c>
      <c r="X42" s="243">
        <v>0</v>
      </c>
    </row>
    <row r="43" spans="1:24" s="247" customFormat="1" ht="15.5" customHeight="1">
      <c r="A43" s="117">
        <v>2137454018</v>
      </c>
      <c r="B43" s="240" t="s">
        <v>109</v>
      </c>
      <c r="C43" s="241" t="s">
        <v>196</v>
      </c>
      <c r="D43" s="241" t="s">
        <v>325</v>
      </c>
      <c r="E43" s="240" t="s">
        <v>255</v>
      </c>
      <c r="F43" s="241" t="s">
        <v>325</v>
      </c>
      <c r="G43" s="243">
        <v>21.31</v>
      </c>
      <c r="H43" s="243">
        <v>0</v>
      </c>
      <c r="I43" s="243">
        <v>21.31</v>
      </c>
      <c r="J43" s="244">
        <v>41383</v>
      </c>
      <c r="K43" s="244">
        <v>41380</v>
      </c>
      <c r="L43" s="245">
        <v>32</v>
      </c>
      <c r="M43" s="241" t="s">
        <v>327</v>
      </c>
      <c r="N43" s="246" t="s">
        <v>197</v>
      </c>
      <c r="O43" s="245">
        <v>5</v>
      </c>
      <c r="R43" s="243">
        <v>21.31</v>
      </c>
      <c r="U43" s="241" t="s">
        <v>325</v>
      </c>
      <c r="V43" s="246" t="s">
        <v>325</v>
      </c>
      <c r="X43" s="243">
        <v>0</v>
      </c>
    </row>
    <row r="44" spans="1:24" s="247" customFormat="1" ht="15.5" customHeight="1">
      <c r="A44" s="117">
        <v>2217686007</v>
      </c>
      <c r="B44" s="240" t="s">
        <v>109</v>
      </c>
      <c r="C44" s="241" t="s">
        <v>198</v>
      </c>
      <c r="D44" s="241" t="s">
        <v>325</v>
      </c>
      <c r="E44" s="240" t="s">
        <v>255</v>
      </c>
      <c r="F44" s="241" t="s">
        <v>325</v>
      </c>
      <c r="G44" s="243">
        <v>63.78</v>
      </c>
      <c r="H44" s="243">
        <v>0</v>
      </c>
      <c r="I44" s="243">
        <v>63.78</v>
      </c>
      <c r="J44" s="244">
        <v>41383</v>
      </c>
      <c r="K44" s="244">
        <v>41380</v>
      </c>
      <c r="L44" s="245">
        <v>32</v>
      </c>
      <c r="M44" s="241" t="s">
        <v>327</v>
      </c>
      <c r="N44" s="246" t="s">
        <v>199</v>
      </c>
      <c r="O44" s="245">
        <v>309</v>
      </c>
      <c r="R44" s="243">
        <v>63.78</v>
      </c>
      <c r="U44" s="241" t="s">
        <v>325</v>
      </c>
      <c r="V44" s="246" t="s">
        <v>325</v>
      </c>
      <c r="X44" s="243">
        <v>0</v>
      </c>
    </row>
    <row r="45" spans="1:24" s="247" customFormat="1" ht="15.5" customHeight="1">
      <c r="A45" s="117">
        <v>2480127108</v>
      </c>
      <c r="B45" s="240" t="s">
        <v>109</v>
      </c>
      <c r="C45" s="241" t="s">
        <v>200</v>
      </c>
      <c r="D45" s="241" t="s">
        <v>325</v>
      </c>
      <c r="E45" s="240" t="s">
        <v>201</v>
      </c>
      <c r="F45" s="241" t="s">
        <v>325</v>
      </c>
      <c r="G45" s="243">
        <v>86.93</v>
      </c>
      <c r="H45" s="243">
        <v>43.51</v>
      </c>
      <c r="I45" s="243">
        <v>43.42</v>
      </c>
      <c r="J45" s="244">
        <v>41365</v>
      </c>
      <c r="K45" s="244">
        <v>41365</v>
      </c>
      <c r="L45" s="245">
        <v>31</v>
      </c>
      <c r="M45" s="241" t="s">
        <v>327</v>
      </c>
      <c r="N45" s="246" t="s">
        <v>325</v>
      </c>
      <c r="O45" s="245">
        <v>332</v>
      </c>
      <c r="R45" s="243">
        <v>43.42</v>
      </c>
      <c r="U45" s="241" t="s">
        <v>325</v>
      </c>
      <c r="V45" s="246" t="s">
        <v>325</v>
      </c>
      <c r="X45" s="243">
        <v>0</v>
      </c>
    </row>
    <row r="46" spans="1:24" s="247" customFormat="1" ht="15.5" customHeight="1">
      <c r="A46" s="117">
        <v>2533809113</v>
      </c>
      <c r="B46" s="240" t="s">
        <v>109</v>
      </c>
      <c r="C46" s="241" t="s">
        <v>202</v>
      </c>
      <c r="D46" s="241" t="s">
        <v>325</v>
      </c>
      <c r="E46" s="240" t="s">
        <v>326</v>
      </c>
      <c r="F46" s="241" t="s">
        <v>277</v>
      </c>
      <c r="G46" s="243">
        <v>89.06</v>
      </c>
      <c r="H46" s="243">
        <v>0</v>
      </c>
      <c r="I46" s="243">
        <v>89.06</v>
      </c>
      <c r="J46" s="244">
        <v>41383</v>
      </c>
      <c r="K46" s="244">
        <v>41381</v>
      </c>
      <c r="L46" s="245">
        <v>29</v>
      </c>
      <c r="M46" s="241" t="s">
        <v>327</v>
      </c>
      <c r="N46" s="246" t="s">
        <v>203</v>
      </c>
      <c r="O46" s="245">
        <v>784</v>
      </c>
      <c r="R46" s="243">
        <v>73.89</v>
      </c>
      <c r="S46" s="244">
        <v>41380</v>
      </c>
      <c r="T46" s="245">
        <v>32</v>
      </c>
      <c r="U46" s="241" t="s">
        <v>327</v>
      </c>
      <c r="V46" s="246" t="s">
        <v>204</v>
      </c>
      <c r="W46" s="245">
        <v>2</v>
      </c>
      <c r="X46" s="243">
        <v>25.09</v>
      </c>
    </row>
    <row r="47" spans="1:24" s="247" customFormat="1" ht="15.5" customHeight="1">
      <c r="A47" s="117">
        <v>2693810107</v>
      </c>
      <c r="B47" s="240" t="s">
        <v>109</v>
      </c>
      <c r="C47" s="241" t="s">
        <v>205</v>
      </c>
      <c r="D47" s="241" t="s">
        <v>325</v>
      </c>
      <c r="E47" s="240" t="s">
        <v>332</v>
      </c>
      <c r="F47" s="241" t="s">
        <v>325</v>
      </c>
      <c r="G47" s="243">
        <v>635.78</v>
      </c>
      <c r="H47" s="243">
        <v>0</v>
      </c>
      <c r="I47" s="243">
        <v>635.78</v>
      </c>
      <c r="J47" s="244">
        <v>41383</v>
      </c>
      <c r="K47" s="244">
        <v>41380</v>
      </c>
      <c r="L47" s="245">
        <v>32</v>
      </c>
      <c r="M47" s="241" t="s">
        <v>327</v>
      </c>
      <c r="N47" s="246" t="s">
        <v>206</v>
      </c>
      <c r="O47" s="245">
        <v>9440</v>
      </c>
      <c r="P47" s="245">
        <v>43.6</v>
      </c>
      <c r="Q47" s="245">
        <v>0.28191896024464835</v>
      </c>
      <c r="R47" s="243">
        <v>635.78</v>
      </c>
      <c r="U47" s="241" t="s">
        <v>325</v>
      </c>
      <c r="V47" s="246" t="s">
        <v>325</v>
      </c>
      <c r="X47" s="243">
        <v>0</v>
      </c>
    </row>
    <row r="48" spans="1:24" s="247" customFormat="1" ht="15.5" customHeight="1">
      <c r="A48" s="117">
        <v>2703112003</v>
      </c>
      <c r="B48" s="240" t="s">
        <v>109</v>
      </c>
      <c r="C48" s="241" t="s">
        <v>207</v>
      </c>
      <c r="D48" s="241" t="s">
        <v>325</v>
      </c>
      <c r="E48" s="240" t="s">
        <v>332</v>
      </c>
      <c r="F48" s="241" t="s">
        <v>325</v>
      </c>
      <c r="G48" s="243">
        <v>105.75</v>
      </c>
      <c r="H48" s="243">
        <v>0</v>
      </c>
      <c r="I48" s="243">
        <v>105.75</v>
      </c>
      <c r="J48" s="244">
        <v>41376</v>
      </c>
      <c r="K48" s="244">
        <v>41373</v>
      </c>
      <c r="L48" s="245">
        <v>32</v>
      </c>
      <c r="M48" s="241" t="s">
        <v>327</v>
      </c>
      <c r="N48" s="246" t="s">
        <v>208</v>
      </c>
      <c r="O48" s="245">
        <v>1077</v>
      </c>
      <c r="P48" s="245">
        <v>3.7</v>
      </c>
      <c r="Q48" s="245">
        <v>0.37901182432432434</v>
      </c>
      <c r="R48" s="243">
        <v>105.75</v>
      </c>
      <c r="U48" s="241" t="s">
        <v>325</v>
      </c>
      <c r="V48" s="246" t="s">
        <v>325</v>
      </c>
      <c r="X48" s="243">
        <v>0</v>
      </c>
    </row>
    <row r="49" spans="1:24" s="247" customFormat="1" ht="15.5" customHeight="1">
      <c r="A49" s="117">
        <v>2773821106</v>
      </c>
      <c r="B49" s="240" t="s">
        <v>109</v>
      </c>
      <c r="C49" s="241" t="s">
        <v>209</v>
      </c>
      <c r="D49" s="241" t="s">
        <v>325</v>
      </c>
      <c r="E49" s="240" t="s">
        <v>255</v>
      </c>
      <c r="F49" s="241" t="s">
        <v>325</v>
      </c>
      <c r="G49" s="243">
        <v>20.62</v>
      </c>
      <c r="H49" s="243">
        <v>0</v>
      </c>
      <c r="I49" s="243">
        <v>20.62</v>
      </c>
      <c r="J49" s="244">
        <v>41383</v>
      </c>
      <c r="K49" s="244">
        <v>41380</v>
      </c>
      <c r="L49" s="245">
        <v>32</v>
      </c>
      <c r="M49" s="241" t="s">
        <v>327</v>
      </c>
      <c r="N49" s="246" t="s">
        <v>210</v>
      </c>
      <c r="O49" s="245">
        <v>0</v>
      </c>
      <c r="R49" s="243">
        <v>20.62</v>
      </c>
      <c r="U49" s="241" t="s">
        <v>325</v>
      </c>
      <c r="V49" s="246" t="s">
        <v>325</v>
      </c>
      <c r="X49" s="243">
        <v>0</v>
      </c>
    </row>
    <row r="50" spans="1:24" s="247" customFormat="1" ht="15.5" customHeight="1">
      <c r="A50" s="117">
        <v>2856106004</v>
      </c>
      <c r="B50" s="240" t="s">
        <v>109</v>
      </c>
      <c r="C50" s="241" t="s">
        <v>211</v>
      </c>
      <c r="D50" s="241" t="s">
        <v>325</v>
      </c>
      <c r="E50" s="240" t="s">
        <v>325</v>
      </c>
      <c r="F50" s="241" t="s">
        <v>335</v>
      </c>
      <c r="G50" s="243">
        <v>26.46</v>
      </c>
      <c r="H50" s="243">
        <v>0</v>
      </c>
      <c r="I50" s="243">
        <v>26.46</v>
      </c>
      <c r="J50" s="244">
        <v>41376</v>
      </c>
      <c r="M50" s="241" t="s">
        <v>325</v>
      </c>
      <c r="N50" s="246" t="s">
        <v>325</v>
      </c>
      <c r="R50" s="243">
        <v>0</v>
      </c>
      <c r="S50" s="244">
        <v>41373</v>
      </c>
      <c r="T50" s="245">
        <v>32</v>
      </c>
      <c r="U50" s="241" t="s">
        <v>327</v>
      </c>
      <c r="V50" s="246" t="s">
        <v>212</v>
      </c>
      <c r="W50" s="245">
        <v>21</v>
      </c>
      <c r="X50" s="243">
        <v>29.73</v>
      </c>
    </row>
    <row r="51" spans="1:24" s="247" customFormat="1" ht="15.5" customHeight="1">
      <c r="A51" s="117">
        <v>2860127100</v>
      </c>
      <c r="B51" s="240" t="s">
        <v>109</v>
      </c>
      <c r="C51" s="241" t="s">
        <v>213</v>
      </c>
      <c r="D51" s="241" t="s">
        <v>325</v>
      </c>
      <c r="E51" s="240" t="s">
        <v>201</v>
      </c>
      <c r="F51" s="241" t="s">
        <v>325</v>
      </c>
      <c r="G51" s="243">
        <v>106.82</v>
      </c>
      <c r="H51" s="243">
        <v>53.46</v>
      </c>
      <c r="I51" s="243">
        <v>53.36</v>
      </c>
      <c r="J51" s="244">
        <v>41365</v>
      </c>
      <c r="K51" s="244">
        <v>41365</v>
      </c>
      <c r="L51" s="245">
        <v>31</v>
      </c>
      <c r="M51" s="241" t="s">
        <v>327</v>
      </c>
      <c r="N51" s="246" t="s">
        <v>325</v>
      </c>
      <c r="O51" s="245">
        <v>312</v>
      </c>
      <c r="R51" s="243">
        <v>53.36</v>
      </c>
      <c r="U51" s="241" t="s">
        <v>325</v>
      </c>
      <c r="V51" s="246" t="s">
        <v>325</v>
      </c>
      <c r="X51" s="243">
        <v>0</v>
      </c>
    </row>
    <row r="52" spans="1:24" s="247" customFormat="1" ht="15.5" customHeight="1">
      <c r="A52" s="117">
        <v>3040127109</v>
      </c>
      <c r="B52" s="240" t="s">
        <v>109</v>
      </c>
      <c r="C52" s="241" t="s">
        <v>214</v>
      </c>
      <c r="D52" s="241" t="s">
        <v>325</v>
      </c>
      <c r="E52" s="240" t="s">
        <v>201</v>
      </c>
      <c r="F52" s="241" t="s">
        <v>325</v>
      </c>
      <c r="G52" s="243">
        <v>110.45</v>
      </c>
      <c r="H52" s="243">
        <v>55.27</v>
      </c>
      <c r="I52" s="243">
        <v>55.18</v>
      </c>
      <c r="J52" s="244">
        <v>41365</v>
      </c>
      <c r="K52" s="244">
        <v>41365</v>
      </c>
      <c r="L52" s="245">
        <v>31</v>
      </c>
      <c r="M52" s="241" t="s">
        <v>327</v>
      </c>
      <c r="N52" s="246" t="s">
        <v>325</v>
      </c>
      <c r="O52" s="245">
        <v>326</v>
      </c>
      <c r="R52" s="243">
        <v>55.18</v>
      </c>
      <c r="U52" s="241" t="s">
        <v>325</v>
      </c>
      <c r="V52" s="246" t="s">
        <v>325</v>
      </c>
      <c r="X52" s="243">
        <v>0</v>
      </c>
    </row>
    <row r="53" spans="1:24" s="247" customFormat="1" ht="15.5" customHeight="1">
      <c r="A53" s="117">
        <v>3128810107</v>
      </c>
      <c r="B53" s="240" t="s">
        <v>109</v>
      </c>
      <c r="C53" s="241" t="s">
        <v>215</v>
      </c>
      <c r="D53" s="241" t="s">
        <v>325</v>
      </c>
      <c r="E53" s="240" t="s">
        <v>326</v>
      </c>
      <c r="F53" s="241" t="s">
        <v>325</v>
      </c>
      <c r="G53" s="243">
        <v>21.04</v>
      </c>
      <c r="H53" s="243">
        <v>0</v>
      </c>
      <c r="I53" s="243">
        <v>21.04</v>
      </c>
      <c r="J53" s="244">
        <v>41376</v>
      </c>
      <c r="K53" s="244">
        <v>41373</v>
      </c>
      <c r="L53" s="245">
        <v>32</v>
      </c>
      <c r="M53" s="241" t="s">
        <v>327</v>
      </c>
      <c r="N53" s="246" t="s">
        <v>216</v>
      </c>
      <c r="O53" s="245">
        <v>6</v>
      </c>
      <c r="R53" s="243">
        <v>21.04</v>
      </c>
      <c r="U53" s="241" t="s">
        <v>325</v>
      </c>
      <c r="V53" s="246" t="s">
        <v>325</v>
      </c>
      <c r="X53" s="243">
        <v>0</v>
      </c>
    </row>
    <row r="54" spans="1:24" s="247" customFormat="1" ht="15.5" customHeight="1">
      <c r="A54" s="117">
        <v>3195056004</v>
      </c>
      <c r="B54" s="240" t="s">
        <v>109</v>
      </c>
      <c r="C54" s="241" t="s">
        <v>217</v>
      </c>
      <c r="D54" s="241" t="s">
        <v>325</v>
      </c>
      <c r="E54" s="240" t="s">
        <v>326</v>
      </c>
      <c r="F54" s="241" t="s">
        <v>325</v>
      </c>
      <c r="G54" s="243">
        <v>21.45</v>
      </c>
      <c r="H54" s="243">
        <v>0</v>
      </c>
      <c r="I54" s="243">
        <v>21.45</v>
      </c>
      <c r="J54" s="244">
        <v>41383</v>
      </c>
      <c r="K54" s="244">
        <v>41380</v>
      </c>
      <c r="L54" s="245">
        <v>32</v>
      </c>
      <c r="M54" s="241" t="s">
        <v>327</v>
      </c>
      <c r="N54" s="246" t="s">
        <v>218</v>
      </c>
      <c r="O54" s="245">
        <v>12</v>
      </c>
      <c r="R54" s="243">
        <v>21.45</v>
      </c>
      <c r="U54" s="241" t="s">
        <v>325</v>
      </c>
      <c r="V54" s="246" t="s">
        <v>325</v>
      </c>
      <c r="X54" s="243">
        <v>0</v>
      </c>
    </row>
    <row r="55" spans="1:24" s="247" customFormat="1" ht="15.5" customHeight="1">
      <c r="A55" s="117">
        <v>3273812135</v>
      </c>
      <c r="B55" s="240" t="s">
        <v>109</v>
      </c>
      <c r="C55" s="241" t="s">
        <v>219</v>
      </c>
      <c r="D55" s="241" t="s">
        <v>325</v>
      </c>
      <c r="E55" s="240" t="s">
        <v>326</v>
      </c>
      <c r="F55" s="241" t="s">
        <v>277</v>
      </c>
      <c r="G55" s="243">
        <v>122.75</v>
      </c>
      <c r="H55" s="243">
        <v>0</v>
      </c>
      <c r="I55" s="243">
        <v>122.75</v>
      </c>
      <c r="J55" s="244">
        <v>41383</v>
      </c>
      <c r="K55" s="244">
        <v>41381</v>
      </c>
      <c r="L55" s="245">
        <v>29</v>
      </c>
      <c r="M55" s="241" t="s">
        <v>327</v>
      </c>
      <c r="N55" s="246" t="s">
        <v>220</v>
      </c>
      <c r="O55" s="245">
        <v>1249</v>
      </c>
      <c r="R55" s="243">
        <v>105.47</v>
      </c>
      <c r="S55" s="244">
        <v>41380</v>
      </c>
      <c r="T55" s="245">
        <v>32</v>
      </c>
      <c r="U55" s="241" t="s">
        <v>327</v>
      </c>
      <c r="V55" s="246" t="s">
        <v>221</v>
      </c>
      <c r="W55" s="245">
        <v>2</v>
      </c>
      <c r="X55" s="243">
        <v>25.09</v>
      </c>
    </row>
    <row r="56" spans="1:24" s="247" customFormat="1" ht="15.5" customHeight="1">
      <c r="A56" s="117">
        <v>3293820115</v>
      </c>
      <c r="B56" s="240" t="s">
        <v>109</v>
      </c>
      <c r="C56" s="241" t="s">
        <v>222</v>
      </c>
      <c r="D56" s="241" t="s">
        <v>325</v>
      </c>
      <c r="E56" s="240" t="s">
        <v>325</v>
      </c>
      <c r="F56" s="241" t="s">
        <v>335</v>
      </c>
      <c r="G56" s="243">
        <v>56.26</v>
      </c>
      <c r="H56" s="243">
        <v>0</v>
      </c>
      <c r="I56" s="243">
        <v>56.26</v>
      </c>
      <c r="J56" s="244">
        <v>41383</v>
      </c>
      <c r="M56" s="241" t="s">
        <v>325</v>
      </c>
      <c r="N56" s="246" t="s">
        <v>325</v>
      </c>
      <c r="R56" s="243">
        <v>0</v>
      </c>
      <c r="S56" s="244">
        <v>41380</v>
      </c>
      <c r="T56" s="245">
        <v>32</v>
      </c>
      <c r="U56" s="241" t="s">
        <v>327</v>
      </c>
      <c r="V56" s="246" t="s">
        <v>223</v>
      </c>
      <c r="W56" s="245">
        <v>104</v>
      </c>
      <c r="X56" s="243">
        <v>56.26</v>
      </c>
    </row>
    <row r="57" spans="1:24" s="247" customFormat="1" ht="15.5" customHeight="1">
      <c r="A57" s="117">
        <v>3448808118</v>
      </c>
      <c r="B57" s="240" t="s">
        <v>109</v>
      </c>
      <c r="C57" s="241" t="s">
        <v>224</v>
      </c>
      <c r="D57" s="241" t="s">
        <v>325</v>
      </c>
      <c r="E57" s="240" t="s">
        <v>326</v>
      </c>
      <c r="F57" s="242" t="s">
        <v>325</v>
      </c>
      <c r="G57" s="243">
        <v>64.91</v>
      </c>
      <c r="H57" s="243">
        <v>0</v>
      </c>
      <c r="I57" s="243">
        <v>64.91</v>
      </c>
      <c r="J57" s="244">
        <v>41376</v>
      </c>
      <c r="K57" s="244">
        <v>41374</v>
      </c>
      <c r="L57" s="245">
        <v>29</v>
      </c>
      <c r="M57" s="241" t="s">
        <v>327</v>
      </c>
      <c r="N57" s="246" t="s">
        <v>225</v>
      </c>
      <c r="O57" s="245">
        <v>760</v>
      </c>
      <c r="R57" s="243">
        <v>74.36</v>
      </c>
      <c r="U57" s="242" t="s">
        <v>325</v>
      </c>
      <c r="V57" s="248" t="s">
        <v>325</v>
      </c>
      <c r="X57" s="243">
        <v>0</v>
      </c>
    </row>
    <row r="58" spans="1:24" s="247" customFormat="1" ht="15.5" customHeight="1">
      <c r="A58" s="117">
        <v>3632395006</v>
      </c>
      <c r="B58" s="240" t="s">
        <v>109</v>
      </c>
      <c r="C58" s="241" t="s">
        <v>226</v>
      </c>
      <c r="D58" s="242" t="s">
        <v>325</v>
      </c>
      <c r="E58" s="240" t="s">
        <v>326</v>
      </c>
      <c r="F58" s="242" t="s">
        <v>325</v>
      </c>
      <c r="G58" s="243">
        <v>21</v>
      </c>
      <c r="H58" s="243">
        <v>0</v>
      </c>
      <c r="I58" s="243">
        <v>21</v>
      </c>
      <c r="J58" s="244">
        <v>41376</v>
      </c>
      <c r="K58" s="244">
        <v>41373</v>
      </c>
      <c r="L58" s="245">
        <v>32</v>
      </c>
      <c r="M58" s="241" t="s">
        <v>327</v>
      </c>
      <c r="N58" s="246" t="s">
        <v>227</v>
      </c>
      <c r="O58" s="245">
        <v>10</v>
      </c>
      <c r="R58" s="243">
        <v>21.32</v>
      </c>
      <c r="U58" s="242" t="s">
        <v>325</v>
      </c>
      <c r="V58" s="248" t="s">
        <v>325</v>
      </c>
      <c r="X58" s="243">
        <v>0</v>
      </c>
    </row>
    <row r="59" spans="1:24" s="247" customFormat="1" ht="15.5" customHeight="1">
      <c r="A59" s="117">
        <v>3753663109</v>
      </c>
      <c r="B59" s="240" t="s">
        <v>109</v>
      </c>
      <c r="C59" s="241" t="s">
        <v>228</v>
      </c>
      <c r="D59" s="242" t="s">
        <v>325</v>
      </c>
      <c r="E59" s="240" t="s">
        <v>330</v>
      </c>
      <c r="F59" s="242" t="s">
        <v>325</v>
      </c>
      <c r="G59" s="243">
        <v>198.2</v>
      </c>
      <c r="H59" s="243">
        <v>0</v>
      </c>
      <c r="I59" s="243">
        <v>198.2</v>
      </c>
      <c r="J59" s="244">
        <v>41383</v>
      </c>
      <c r="K59" s="244">
        <v>41383</v>
      </c>
      <c r="L59" s="245">
        <v>30</v>
      </c>
      <c r="M59" s="241" t="s">
        <v>327</v>
      </c>
      <c r="N59" s="248" t="s">
        <v>325</v>
      </c>
      <c r="O59" s="245">
        <v>166</v>
      </c>
      <c r="R59" s="243">
        <v>201.17</v>
      </c>
      <c r="U59" s="242" t="s">
        <v>325</v>
      </c>
      <c r="V59" s="248" t="s">
        <v>325</v>
      </c>
      <c r="X59" s="243">
        <v>0</v>
      </c>
    </row>
    <row r="60" spans="1:24" s="247" customFormat="1" ht="15.5" customHeight="1">
      <c r="A60" s="117">
        <v>3798043001</v>
      </c>
      <c r="B60" s="240" t="s">
        <v>109</v>
      </c>
      <c r="C60" s="241" t="s">
        <v>229</v>
      </c>
      <c r="D60" s="242" t="s">
        <v>325</v>
      </c>
      <c r="E60" s="240" t="s">
        <v>255</v>
      </c>
      <c r="F60" s="242" t="s">
        <v>325</v>
      </c>
      <c r="G60" s="243">
        <v>64.7</v>
      </c>
      <c r="H60" s="243">
        <v>44.89</v>
      </c>
      <c r="I60" s="243">
        <v>19.809999999999999</v>
      </c>
      <c r="J60" s="244">
        <v>41354</v>
      </c>
      <c r="K60" s="244">
        <v>41351</v>
      </c>
      <c r="L60" s="245">
        <v>31</v>
      </c>
      <c r="M60" s="241" t="s">
        <v>327</v>
      </c>
      <c r="N60" s="246" t="s">
        <v>230</v>
      </c>
      <c r="O60" s="245">
        <v>8</v>
      </c>
      <c r="R60" s="243">
        <v>21.92</v>
      </c>
      <c r="U60" s="242" t="s">
        <v>325</v>
      </c>
      <c r="V60" s="248" t="s">
        <v>325</v>
      </c>
      <c r="X60" s="243">
        <v>0</v>
      </c>
    </row>
    <row r="61" spans="1:24" s="247" customFormat="1" ht="15.5" customHeight="1">
      <c r="A61" s="117">
        <v>3908811104</v>
      </c>
      <c r="B61" s="240" t="s">
        <v>109</v>
      </c>
      <c r="C61" s="241" t="s">
        <v>231</v>
      </c>
      <c r="D61" s="242" t="s">
        <v>325</v>
      </c>
      <c r="E61" s="240" t="s">
        <v>326</v>
      </c>
      <c r="F61" s="242" t="s">
        <v>325</v>
      </c>
      <c r="G61" s="243">
        <v>47.57</v>
      </c>
      <c r="H61" s="243">
        <v>0</v>
      </c>
      <c r="I61" s="243">
        <v>47.57</v>
      </c>
      <c r="J61" s="244">
        <v>41376</v>
      </c>
      <c r="K61" s="244">
        <v>41373</v>
      </c>
      <c r="L61" s="245">
        <v>31</v>
      </c>
      <c r="M61" s="241" t="s">
        <v>327</v>
      </c>
      <c r="N61" s="246" t="s">
        <v>232</v>
      </c>
      <c r="O61" s="245">
        <v>378</v>
      </c>
      <c r="R61" s="243">
        <v>47.57</v>
      </c>
      <c r="U61" s="242" t="s">
        <v>325</v>
      </c>
      <c r="V61" s="248" t="s">
        <v>325</v>
      </c>
      <c r="X61" s="243">
        <v>0</v>
      </c>
    </row>
    <row r="62" spans="1:24" s="247" customFormat="1" ht="15.5" customHeight="1">
      <c r="A62" s="117">
        <v>4153807100</v>
      </c>
      <c r="B62" s="240" t="s">
        <v>109</v>
      </c>
      <c r="C62" s="241" t="s">
        <v>233</v>
      </c>
      <c r="D62" s="242" t="s">
        <v>325</v>
      </c>
      <c r="E62" s="240" t="s">
        <v>326</v>
      </c>
      <c r="F62" s="241" t="s">
        <v>277</v>
      </c>
      <c r="G62" s="243">
        <v>516.48</v>
      </c>
      <c r="H62" s="243">
        <v>0</v>
      </c>
      <c r="I62" s="243">
        <v>516.48</v>
      </c>
      <c r="J62" s="244">
        <v>41383</v>
      </c>
      <c r="K62" s="244">
        <v>41380</v>
      </c>
      <c r="L62" s="245">
        <v>32</v>
      </c>
      <c r="M62" s="241" t="s">
        <v>327</v>
      </c>
      <c r="N62" s="246" t="s">
        <v>234</v>
      </c>
      <c r="O62" s="245">
        <v>358</v>
      </c>
      <c r="R62" s="243">
        <v>45.29</v>
      </c>
      <c r="S62" s="244">
        <v>41380</v>
      </c>
      <c r="T62" s="245">
        <v>32</v>
      </c>
      <c r="U62" s="241" t="s">
        <v>327</v>
      </c>
      <c r="V62" s="246" t="s">
        <v>235</v>
      </c>
      <c r="W62" s="245">
        <v>538</v>
      </c>
      <c r="X62" s="243">
        <v>471.19</v>
      </c>
    </row>
    <row r="63" spans="1:24" s="247" customFormat="1" ht="15.5" customHeight="1">
      <c r="A63" s="117">
        <v>4153820112</v>
      </c>
      <c r="B63" s="240" t="s">
        <v>109</v>
      </c>
      <c r="C63" s="241" t="s">
        <v>147</v>
      </c>
      <c r="D63" s="242" t="s">
        <v>325</v>
      </c>
      <c r="E63" s="240" t="s">
        <v>332</v>
      </c>
      <c r="F63" s="242" t="s">
        <v>325</v>
      </c>
      <c r="G63" s="243">
        <v>97.54</v>
      </c>
      <c r="H63" s="243">
        <v>0</v>
      </c>
      <c r="I63" s="243">
        <v>97.54</v>
      </c>
      <c r="J63" s="244">
        <v>41383</v>
      </c>
      <c r="K63" s="244">
        <v>41381</v>
      </c>
      <c r="L63" s="245">
        <v>29</v>
      </c>
      <c r="M63" s="241" t="s">
        <v>327</v>
      </c>
      <c r="N63" s="246" t="s">
        <v>148</v>
      </c>
      <c r="O63" s="245">
        <v>547</v>
      </c>
      <c r="P63" s="245">
        <v>3.6</v>
      </c>
      <c r="Q63" s="245">
        <v>0.21831098339719029</v>
      </c>
      <c r="R63" s="243">
        <v>97.54</v>
      </c>
      <c r="U63" s="242" t="s">
        <v>325</v>
      </c>
      <c r="V63" s="248" t="s">
        <v>325</v>
      </c>
      <c r="X63" s="243">
        <v>0</v>
      </c>
    </row>
    <row r="64" spans="1:24" s="247" customFormat="1" ht="15.5" customHeight="1">
      <c r="A64" s="117">
        <v>4308810115</v>
      </c>
      <c r="B64" s="240" t="s">
        <v>109</v>
      </c>
      <c r="C64" s="241" t="s">
        <v>149</v>
      </c>
      <c r="D64" s="242" t="s">
        <v>325</v>
      </c>
      <c r="E64" s="240" t="s">
        <v>326</v>
      </c>
      <c r="F64" s="242" t="s">
        <v>325</v>
      </c>
      <c r="G64" s="243">
        <v>94.9</v>
      </c>
      <c r="H64" s="243">
        <v>0</v>
      </c>
      <c r="I64" s="243">
        <v>94.9</v>
      </c>
      <c r="J64" s="244">
        <v>41376</v>
      </c>
      <c r="K64" s="244">
        <v>41374</v>
      </c>
      <c r="L64" s="245">
        <v>29</v>
      </c>
      <c r="M64" s="241" t="s">
        <v>327</v>
      </c>
      <c r="N64" s="246" t="s">
        <v>113</v>
      </c>
      <c r="O64" s="245">
        <v>1247</v>
      </c>
      <c r="R64" s="243">
        <v>108.8</v>
      </c>
      <c r="U64" s="242" t="s">
        <v>325</v>
      </c>
      <c r="V64" s="248" t="s">
        <v>325</v>
      </c>
      <c r="X64" s="243">
        <v>0</v>
      </c>
    </row>
    <row r="65" spans="1:24" s="247" customFormat="1" ht="15.5" customHeight="1">
      <c r="A65" s="117">
        <v>4399122004</v>
      </c>
      <c r="B65" s="240" t="s">
        <v>109</v>
      </c>
      <c r="C65" s="241" t="s">
        <v>151</v>
      </c>
      <c r="D65" s="242" t="s">
        <v>325</v>
      </c>
      <c r="E65" s="249" t="s">
        <v>325</v>
      </c>
      <c r="F65" s="241" t="s">
        <v>335</v>
      </c>
      <c r="G65" s="243">
        <v>50.57</v>
      </c>
      <c r="H65" s="243">
        <v>0</v>
      </c>
      <c r="I65" s="243">
        <v>50.57</v>
      </c>
      <c r="J65" s="244">
        <v>41383</v>
      </c>
      <c r="M65" s="242" t="s">
        <v>325</v>
      </c>
      <c r="N65" s="248" t="s">
        <v>325</v>
      </c>
      <c r="R65" s="243">
        <v>0</v>
      </c>
      <c r="S65" s="244">
        <v>41380</v>
      </c>
      <c r="T65" s="245">
        <v>32</v>
      </c>
      <c r="U65" s="241" t="s">
        <v>327</v>
      </c>
      <c r="V65" s="246" t="s">
        <v>152</v>
      </c>
      <c r="W65" s="245">
        <v>97</v>
      </c>
      <c r="X65" s="243">
        <v>53.99</v>
      </c>
    </row>
    <row r="66" spans="1:24" s="247" customFormat="1" ht="15.5" customHeight="1">
      <c r="A66" s="117">
        <v>4513814101</v>
      </c>
      <c r="B66" s="240" t="s">
        <v>109</v>
      </c>
      <c r="C66" s="241" t="s">
        <v>153</v>
      </c>
      <c r="D66" s="242" t="s">
        <v>325</v>
      </c>
      <c r="E66" s="240" t="s">
        <v>332</v>
      </c>
      <c r="F66" s="241" t="s">
        <v>277</v>
      </c>
      <c r="G66" s="243">
        <v>363.63</v>
      </c>
      <c r="H66" s="243">
        <v>0</v>
      </c>
      <c r="I66" s="243">
        <v>363.63</v>
      </c>
      <c r="J66" s="244">
        <v>41383</v>
      </c>
      <c r="K66" s="244">
        <v>41381</v>
      </c>
      <c r="L66" s="245">
        <v>29</v>
      </c>
      <c r="M66" s="241" t="s">
        <v>327</v>
      </c>
      <c r="N66" s="246" t="s">
        <v>154</v>
      </c>
      <c r="O66" s="245">
        <v>1693</v>
      </c>
      <c r="P66" s="245">
        <v>7.4</v>
      </c>
      <c r="Q66" s="245">
        <v>0.32871233302267783</v>
      </c>
      <c r="R66" s="243">
        <v>150.85</v>
      </c>
      <c r="S66" s="244">
        <v>41380</v>
      </c>
      <c r="T66" s="245">
        <v>32</v>
      </c>
      <c r="U66" s="241" t="s">
        <v>327</v>
      </c>
      <c r="V66" s="246" t="s">
        <v>155</v>
      </c>
      <c r="W66" s="245">
        <v>215</v>
      </c>
      <c r="X66" s="243">
        <v>212.78</v>
      </c>
    </row>
    <row r="67" spans="1:24" s="247" customFormat="1" ht="15.5" customHeight="1">
      <c r="A67" s="117">
        <v>4533881110</v>
      </c>
      <c r="B67" s="240" t="s">
        <v>109</v>
      </c>
      <c r="C67" s="241" t="s">
        <v>156</v>
      </c>
      <c r="D67" s="241" t="s">
        <v>157</v>
      </c>
      <c r="E67" s="240" t="s">
        <v>158</v>
      </c>
      <c r="F67" s="242" t="s">
        <v>325</v>
      </c>
      <c r="G67" s="243">
        <v>25.8</v>
      </c>
      <c r="H67" s="243">
        <v>0</v>
      </c>
      <c r="I67" s="243">
        <v>25.8</v>
      </c>
      <c r="J67" s="244">
        <v>41383</v>
      </c>
      <c r="K67" s="244">
        <v>41383</v>
      </c>
      <c r="L67" s="245">
        <v>30</v>
      </c>
      <c r="M67" s="241" t="s">
        <v>327</v>
      </c>
      <c r="N67" s="248" t="s">
        <v>325</v>
      </c>
      <c r="O67" s="245">
        <v>164</v>
      </c>
      <c r="R67" s="243">
        <v>27.38</v>
      </c>
      <c r="U67" s="242" t="s">
        <v>325</v>
      </c>
      <c r="V67" s="248" t="s">
        <v>325</v>
      </c>
      <c r="X67" s="243">
        <v>0</v>
      </c>
    </row>
    <row r="68" spans="1:24" s="247" customFormat="1" ht="15.5" customHeight="1">
      <c r="A68" s="117">
        <v>4568811105</v>
      </c>
      <c r="B68" s="240" t="s">
        <v>109</v>
      </c>
      <c r="C68" s="241" t="s">
        <v>159</v>
      </c>
      <c r="D68" s="242" t="s">
        <v>325</v>
      </c>
      <c r="E68" s="240" t="s">
        <v>326</v>
      </c>
      <c r="F68" s="242" t="s">
        <v>325</v>
      </c>
      <c r="G68" s="243">
        <v>99.31</v>
      </c>
      <c r="H68" s="243">
        <v>0</v>
      </c>
      <c r="I68" s="243">
        <v>99.31</v>
      </c>
      <c r="J68" s="244">
        <v>41376</v>
      </c>
      <c r="K68" s="244">
        <v>41373</v>
      </c>
      <c r="L68" s="245">
        <v>31</v>
      </c>
      <c r="M68" s="241" t="s">
        <v>327</v>
      </c>
      <c r="N68" s="246" t="s">
        <v>160</v>
      </c>
      <c r="O68" s="245">
        <v>1103</v>
      </c>
      <c r="R68" s="243">
        <v>99.31</v>
      </c>
      <c r="U68" s="242" t="s">
        <v>325</v>
      </c>
      <c r="V68" s="248" t="s">
        <v>325</v>
      </c>
      <c r="X68" s="243">
        <v>0</v>
      </c>
    </row>
    <row r="69" spans="1:24" s="247" customFormat="1" ht="15.5" customHeight="1">
      <c r="A69" s="117">
        <v>4588811101</v>
      </c>
      <c r="B69" s="240" t="s">
        <v>109</v>
      </c>
      <c r="C69" s="241" t="s">
        <v>159</v>
      </c>
      <c r="D69" s="242" t="s">
        <v>325</v>
      </c>
      <c r="E69" s="240" t="s">
        <v>326</v>
      </c>
      <c r="F69" s="242" t="s">
        <v>325</v>
      </c>
      <c r="G69" s="243">
        <v>23.46</v>
      </c>
      <c r="H69" s="243">
        <v>0</v>
      </c>
      <c r="I69" s="243">
        <v>23.46</v>
      </c>
      <c r="J69" s="244">
        <v>41376</v>
      </c>
      <c r="K69" s="244">
        <v>41374</v>
      </c>
      <c r="L69" s="245">
        <v>29</v>
      </c>
      <c r="M69" s="241" t="s">
        <v>327</v>
      </c>
      <c r="N69" s="246" t="s">
        <v>161</v>
      </c>
      <c r="O69" s="245">
        <v>40</v>
      </c>
      <c r="R69" s="243">
        <v>23.46</v>
      </c>
      <c r="U69" s="242" t="s">
        <v>325</v>
      </c>
      <c r="V69" s="248" t="s">
        <v>325</v>
      </c>
      <c r="X69" s="243">
        <v>0</v>
      </c>
    </row>
    <row r="70" spans="1:24" s="247" customFormat="1" ht="15.5" customHeight="1">
      <c r="A70" s="117">
        <v>4794009102</v>
      </c>
      <c r="B70" s="240" t="s">
        <v>109</v>
      </c>
      <c r="C70" s="241" t="s">
        <v>162</v>
      </c>
      <c r="D70" s="242" t="s">
        <v>325</v>
      </c>
      <c r="E70" s="240" t="s">
        <v>255</v>
      </c>
      <c r="F70" s="241" t="s">
        <v>163</v>
      </c>
      <c r="G70" s="243">
        <v>1162.5999999999999</v>
      </c>
      <c r="H70" s="243">
        <v>873.18</v>
      </c>
      <c r="I70" s="243">
        <v>289.42099999999999</v>
      </c>
      <c r="J70" s="244">
        <v>41354</v>
      </c>
      <c r="K70" s="244">
        <v>41351</v>
      </c>
      <c r="L70" s="245">
        <v>31</v>
      </c>
      <c r="M70" s="241" t="s">
        <v>327</v>
      </c>
      <c r="N70" s="246" t="s">
        <v>164</v>
      </c>
      <c r="O70" s="245">
        <v>2273</v>
      </c>
      <c r="R70" s="243">
        <v>283.64</v>
      </c>
      <c r="S70" s="244">
        <v>41351</v>
      </c>
      <c r="T70" s="245">
        <v>31</v>
      </c>
      <c r="U70" s="241" t="s">
        <v>327</v>
      </c>
      <c r="V70" s="246" t="s">
        <v>165</v>
      </c>
      <c r="W70" s="245">
        <v>4</v>
      </c>
      <c r="X70" s="243">
        <v>26.46</v>
      </c>
    </row>
    <row r="71" spans="1:24" s="247" customFormat="1" ht="15.5" customHeight="1">
      <c r="A71" s="117">
        <v>5048811100</v>
      </c>
      <c r="B71" s="240" t="s">
        <v>109</v>
      </c>
      <c r="C71" s="241" t="s">
        <v>166</v>
      </c>
      <c r="D71" s="242" t="s">
        <v>325</v>
      </c>
      <c r="E71" s="240" t="s">
        <v>326</v>
      </c>
      <c r="F71" s="242" t="s">
        <v>325</v>
      </c>
      <c r="G71" s="243">
        <v>36.83</v>
      </c>
      <c r="H71" s="243">
        <v>0</v>
      </c>
      <c r="I71" s="243">
        <v>36.83</v>
      </c>
      <c r="J71" s="244">
        <v>41376</v>
      </c>
      <c r="K71" s="244">
        <v>41373</v>
      </c>
      <c r="L71" s="245">
        <v>32</v>
      </c>
      <c r="M71" s="241" t="s">
        <v>327</v>
      </c>
      <c r="N71" s="246" t="s">
        <v>167</v>
      </c>
      <c r="O71" s="245">
        <v>227</v>
      </c>
      <c r="R71" s="243">
        <v>36.83</v>
      </c>
      <c r="U71" s="242" t="s">
        <v>325</v>
      </c>
      <c r="V71" s="248" t="s">
        <v>325</v>
      </c>
      <c r="X71" s="243">
        <v>0</v>
      </c>
    </row>
    <row r="72" spans="1:24" s="247" customFormat="1" ht="15.5" customHeight="1">
      <c r="A72" s="117">
        <v>5293880104</v>
      </c>
      <c r="B72" s="240" t="s">
        <v>109</v>
      </c>
      <c r="C72" s="241" t="s">
        <v>168</v>
      </c>
      <c r="D72" s="242" t="s">
        <v>325</v>
      </c>
      <c r="E72" s="240" t="s">
        <v>330</v>
      </c>
      <c r="F72" s="242" t="s">
        <v>325</v>
      </c>
      <c r="G72" s="243">
        <v>9120.7999999999993</v>
      </c>
      <c r="H72" s="243">
        <v>0</v>
      </c>
      <c r="I72" s="243">
        <v>9120.7999999999993</v>
      </c>
      <c r="J72" s="244">
        <v>41383</v>
      </c>
      <c r="K72" s="244">
        <v>41383</v>
      </c>
      <c r="L72" s="245">
        <v>30</v>
      </c>
      <c r="M72" s="241" t="s">
        <v>327</v>
      </c>
      <c r="N72" s="248" t="s">
        <v>325</v>
      </c>
      <c r="O72" s="245">
        <v>30334</v>
      </c>
      <c r="R72" s="243">
        <v>9887.18</v>
      </c>
      <c r="U72" s="242" t="s">
        <v>325</v>
      </c>
      <c r="V72" s="248" t="s">
        <v>325</v>
      </c>
      <c r="X72" s="243">
        <v>0</v>
      </c>
    </row>
    <row r="73" spans="1:24" s="247" customFormat="1" ht="15.5" customHeight="1">
      <c r="A73" s="117">
        <v>5333812119</v>
      </c>
      <c r="B73" s="240" t="s">
        <v>109</v>
      </c>
      <c r="C73" s="241" t="s">
        <v>169</v>
      </c>
      <c r="D73" s="242" t="s">
        <v>325</v>
      </c>
      <c r="E73" s="240" t="s">
        <v>326</v>
      </c>
      <c r="F73" s="242" t="s">
        <v>325</v>
      </c>
      <c r="G73" s="243">
        <v>45.57</v>
      </c>
      <c r="H73" s="243">
        <v>0</v>
      </c>
      <c r="I73" s="243">
        <v>45.57</v>
      </c>
      <c r="J73" s="244">
        <v>41383</v>
      </c>
      <c r="K73" s="244">
        <v>41380</v>
      </c>
      <c r="L73" s="245">
        <v>32</v>
      </c>
      <c r="M73" s="241" t="s">
        <v>327</v>
      </c>
      <c r="N73" s="246" t="s">
        <v>170</v>
      </c>
      <c r="O73" s="245">
        <v>362</v>
      </c>
      <c r="R73" s="243">
        <v>45.57</v>
      </c>
      <c r="U73" s="242" t="s">
        <v>325</v>
      </c>
      <c r="V73" s="248" t="s">
        <v>325</v>
      </c>
      <c r="X73" s="243">
        <v>0</v>
      </c>
    </row>
    <row r="74" spans="1:24" s="247" customFormat="1" ht="15.5" customHeight="1">
      <c r="A74" s="117">
        <v>5513812108</v>
      </c>
      <c r="B74" s="240" t="s">
        <v>109</v>
      </c>
      <c r="C74" s="241" t="s">
        <v>337</v>
      </c>
      <c r="D74" s="242" t="s">
        <v>325</v>
      </c>
      <c r="E74" s="240" t="s">
        <v>332</v>
      </c>
      <c r="F74" s="242" t="s">
        <v>325</v>
      </c>
      <c r="G74" s="243">
        <v>169.58</v>
      </c>
      <c r="H74" s="243">
        <v>0</v>
      </c>
      <c r="I74" s="243">
        <v>169.58</v>
      </c>
      <c r="J74" s="244">
        <v>41383</v>
      </c>
      <c r="K74" s="244">
        <v>41380</v>
      </c>
      <c r="L74" s="245">
        <v>27</v>
      </c>
      <c r="M74" s="241" t="s">
        <v>327</v>
      </c>
      <c r="N74" s="246" t="s">
        <v>114</v>
      </c>
      <c r="O74" s="245">
        <v>1439</v>
      </c>
      <c r="P74" s="245">
        <v>9.3000000000000007</v>
      </c>
      <c r="Q74" s="245">
        <v>0.23878268949953538</v>
      </c>
      <c r="R74" s="243">
        <v>169.58</v>
      </c>
      <c r="U74" s="242" t="s">
        <v>325</v>
      </c>
      <c r="V74" s="248" t="s">
        <v>325</v>
      </c>
      <c r="X74" s="243">
        <v>0</v>
      </c>
    </row>
    <row r="75" spans="1:24" s="247" customFormat="1" ht="15.5" customHeight="1">
      <c r="A75" s="117">
        <v>5613808124</v>
      </c>
      <c r="B75" s="240" t="s">
        <v>109</v>
      </c>
      <c r="C75" s="241" t="s">
        <v>172</v>
      </c>
      <c r="D75" s="242" t="s">
        <v>325</v>
      </c>
      <c r="E75" s="240" t="s">
        <v>255</v>
      </c>
      <c r="F75" s="242" t="s">
        <v>325</v>
      </c>
      <c r="G75" s="243">
        <v>44.73</v>
      </c>
      <c r="H75" s="243">
        <v>0</v>
      </c>
      <c r="I75" s="243">
        <v>44.73</v>
      </c>
      <c r="J75" s="244">
        <v>41383</v>
      </c>
      <c r="K75" s="244">
        <v>41382</v>
      </c>
      <c r="L75" s="245">
        <v>29</v>
      </c>
      <c r="M75" s="241" t="s">
        <v>327</v>
      </c>
      <c r="N75" s="246" t="s">
        <v>173</v>
      </c>
      <c r="O75" s="245">
        <v>23</v>
      </c>
      <c r="R75" s="243">
        <v>23.71</v>
      </c>
      <c r="U75" s="242" t="s">
        <v>325</v>
      </c>
      <c r="V75" s="248" t="s">
        <v>325</v>
      </c>
      <c r="X75" s="243">
        <v>0</v>
      </c>
    </row>
    <row r="76" spans="1:24" s="247" customFormat="1" ht="15.5" customHeight="1">
      <c r="A76" s="117">
        <v>5668811108</v>
      </c>
      <c r="B76" s="240" t="s">
        <v>109</v>
      </c>
      <c r="C76" s="241" t="s">
        <v>159</v>
      </c>
      <c r="D76" s="242" t="s">
        <v>325</v>
      </c>
      <c r="E76" s="240" t="s">
        <v>255</v>
      </c>
      <c r="F76" s="242" t="s">
        <v>325</v>
      </c>
      <c r="G76" s="243">
        <v>31.35</v>
      </c>
      <c r="H76" s="243">
        <v>0</v>
      </c>
      <c r="I76" s="243">
        <v>31.35</v>
      </c>
      <c r="J76" s="244">
        <v>41376</v>
      </c>
      <c r="K76" s="244">
        <v>41373</v>
      </c>
      <c r="L76" s="245">
        <v>31</v>
      </c>
      <c r="M76" s="241" t="s">
        <v>327</v>
      </c>
      <c r="N76" s="246" t="s">
        <v>174</v>
      </c>
      <c r="O76" s="245">
        <v>77</v>
      </c>
      <c r="R76" s="243">
        <v>31.35</v>
      </c>
      <c r="U76" s="242" t="s">
        <v>325</v>
      </c>
      <c r="V76" s="248" t="s">
        <v>325</v>
      </c>
      <c r="X76" s="243">
        <v>0</v>
      </c>
    </row>
    <row r="77" spans="1:24" s="247" customFormat="1" ht="15.5" customHeight="1">
      <c r="A77" s="117">
        <v>5748811104</v>
      </c>
      <c r="B77" s="240" t="s">
        <v>109</v>
      </c>
      <c r="C77" s="241" t="s">
        <v>175</v>
      </c>
      <c r="D77" s="242" t="s">
        <v>325</v>
      </c>
      <c r="E77" s="240" t="s">
        <v>326</v>
      </c>
      <c r="F77" s="242" t="s">
        <v>325</v>
      </c>
      <c r="G77" s="243">
        <v>21.32</v>
      </c>
      <c r="H77" s="243">
        <v>0</v>
      </c>
      <c r="I77" s="243">
        <v>21.32</v>
      </c>
      <c r="J77" s="244">
        <v>41376</v>
      </c>
      <c r="K77" s="244">
        <v>41373</v>
      </c>
      <c r="L77" s="245">
        <v>31</v>
      </c>
      <c r="M77" s="241" t="s">
        <v>327</v>
      </c>
      <c r="N77" s="246" t="s">
        <v>176</v>
      </c>
      <c r="O77" s="245">
        <v>10</v>
      </c>
      <c r="R77" s="243">
        <v>21.32</v>
      </c>
      <c r="U77" s="242" t="s">
        <v>325</v>
      </c>
      <c r="V77" s="248" t="s">
        <v>325</v>
      </c>
      <c r="X77" s="243">
        <v>0</v>
      </c>
    </row>
    <row r="78" spans="1:24" s="247" customFormat="1" ht="15.5" customHeight="1">
      <c r="A78" s="117">
        <v>5828811100</v>
      </c>
      <c r="B78" s="240" t="s">
        <v>109</v>
      </c>
      <c r="C78" s="241" t="s">
        <v>175</v>
      </c>
      <c r="D78" s="242" t="s">
        <v>325</v>
      </c>
      <c r="E78" s="240" t="s">
        <v>326</v>
      </c>
      <c r="F78" s="242" t="s">
        <v>325</v>
      </c>
      <c r="G78" s="243">
        <v>21.18</v>
      </c>
      <c r="H78" s="243">
        <v>0</v>
      </c>
      <c r="I78" s="243">
        <v>21.18</v>
      </c>
      <c r="J78" s="244">
        <v>41376</v>
      </c>
      <c r="K78" s="244">
        <v>41373</v>
      </c>
      <c r="L78" s="245">
        <v>31</v>
      </c>
      <c r="M78" s="241" t="s">
        <v>327</v>
      </c>
      <c r="N78" s="246" t="s">
        <v>177</v>
      </c>
      <c r="O78" s="245">
        <v>8</v>
      </c>
      <c r="R78" s="243">
        <v>21.18</v>
      </c>
      <c r="U78" s="242" t="s">
        <v>325</v>
      </c>
      <c r="V78" s="248" t="s">
        <v>325</v>
      </c>
      <c r="X78" s="243">
        <v>0</v>
      </c>
    </row>
    <row r="79" spans="1:24" s="247" customFormat="1" ht="15.5" customHeight="1">
      <c r="A79" s="117">
        <v>5913814119</v>
      </c>
      <c r="B79" s="240" t="s">
        <v>109</v>
      </c>
      <c r="C79" s="241" t="s">
        <v>178</v>
      </c>
      <c r="D79" s="242" t="s">
        <v>325</v>
      </c>
      <c r="E79" s="240" t="s">
        <v>332</v>
      </c>
      <c r="F79" s="242" t="s">
        <v>325</v>
      </c>
      <c r="G79" s="243">
        <v>163.69</v>
      </c>
      <c r="H79" s="243">
        <v>0</v>
      </c>
      <c r="I79" s="243">
        <v>163.69</v>
      </c>
      <c r="J79" s="244">
        <v>41383</v>
      </c>
      <c r="K79" s="244">
        <v>41381</v>
      </c>
      <c r="L79" s="245">
        <v>29</v>
      </c>
      <c r="M79" s="241" t="s">
        <v>327</v>
      </c>
      <c r="N79" s="246" t="s">
        <v>179</v>
      </c>
      <c r="O79" s="245">
        <v>2762</v>
      </c>
      <c r="P79" s="245">
        <v>9.3000000000000007</v>
      </c>
      <c r="Q79" s="245">
        <v>0.42670868866641948</v>
      </c>
      <c r="R79" s="243">
        <v>182.17</v>
      </c>
      <c r="U79" s="242" t="s">
        <v>325</v>
      </c>
      <c r="V79" s="248" t="s">
        <v>325</v>
      </c>
      <c r="X79" s="243">
        <v>0</v>
      </c>
    </row>
    <row r="80" spans="1:24" s="247" customFormat="1" ht="15.5" customHeight="1">
      <c r="A80" s="117">
        <v>5933814115</v>
      </c>
      <c r="B80" s="240" t="s">
        <v>109</v>
      </c>
      <c r="C80" s="241" t="s">
        <v>180</v>
      </c>
      <c r="D80" s="242" t="s">
        <v>325</v>
      </c>
      <c r="E80" s="240" t="s">
        <v>332</v>
      </c>
      <c r="F80" s="242" t="s">
        <v>325</v>
      </c>
      <c r="G80" s="243">
        <v>189.29</v>
      </c>
      <c r="H80" s="243">
        <v>0</v>
      </c>
      <c r="I80" s="243">
        <v>189.29</v>
      </c>
      <c r="J80" s="244">
        <v>41383</v>
      </c>
      <c r="K80" s="244">
        <v>41380</v>
      </c>
      <c r="L80" s="245">
        <v>32</v>
      </c>
      <c r="M80" s="241" t="s">
        <v>327</v>
      </c>
      <c r="N80" s="246" t="s">
        <v>181</v>
      </c>
      <c r="O80" s="245">
        <v>4681</v>
      </c>
      <c r="P80" s="245">
        <v>8.1999999999999993</v>
      </c>
      <c r="Q80" s="245">
        <v>0.74329903455284552</v>
      </c>
      <c r="R80" s="243">
        <v>189.29</v>
      </c>
      <c r="U80" s="242" t="s">
        <v>325</v>
      </c>
      <c r="V80" s="248" t="s">
        <v>325</v>
      </c>
      <c r="X80" s="243">
        <v>0</v>
      </c>
    </row>
    <row r="81" spans="1:24" s="247" customFormat="1" ht="15.5" customHeight="1">
      <c r="A81" s="117">
        <v>6053820112</v>
      </c>
      <c r="B81" s="240" t="s">
        <v>109</v>
      </c>
      <c r="C81" s="241" t="s">
        <v>182</v>
      </c>
      <c r="D81" s="242" t="s">
        <v>325</v>
      </c>
      <c r="E81" s="240" t="s">
        <v>326</v>
      </c>
      <c r="F81" s="242" t="s">
        <v>325</v>
      </c>
      <c r="G81" s="243">
        <v>22.76</v>
      </c>
      <c r="H81" s="243">
        <v>0</v>
      </c>
      <c r="I81" s="243">
        <v>22.76</v>
      </c>
      <c r="J81" s="244">
        <v>41383</v>
      </c>
      <c r="K81" s="244">
        <v>41380</v>
      </c>
      <c r="L81" s="245">
        <v>32</v>
      </c>
      <c r="M81" s="241" t="s">
        <v>327</v>
      </c>
      <c r="N81" s="246" t="s">
        <v>183</v>
      </c>
      <c r="O81" s="245">
        <v>31</v>
      </c>
      <c r="R81" s="243">
        <v>22.76</v>
      </c>
      <c r="U81" s="242" t="s">
        <v>325</v>
      </c>
      <c r="V81" s="248" t="s">
        <v>325</v>
      </c>
      <c r="X81" s="243">
        <v>0</v>
      </c>
    </row>
    <row r="82" spans="1:24" s="247" customFormat="1" ht="15.5" customHeight="1">
      <c r="A82" s="117">
        <v>6173817104</v>
      </c>
      <c r="B82" s="240" t="s">
        <v>109</v>
      </c>
      <c r="C82" s="241" t="s">
        <v>184</v>
      </c>
      <c r="D82" s="242" t="s">
        <v>325</v>
      </c>
      <c r="E82" s="240" t="s">
        <v>326</v>
      </c>
      <c r="F82" s="242" t="s">
        <v>325</v>
      </c>
      <c r="G82" s="243">
        <v>40.950000000000003</v>
      </c>
      <c r="H82" s="243">
        <v>0</v>
      </c>
      <c r="I82" s="243">
        <v>40.950000000000003</v>
      </c>
      <c r="J82" s="244">
        <v>41383</v>
      </c>
      <c r="K82" s="244">
        <v>41380</v>
      </c>
      <c r="L82" s="245">
        <v>32</v>
      </c>
      <c r="M82" s="241" t="s">
        <v>327</v>
      </c>
      <c r="N82" s="246" t="s">
        <v>185</v>
      </c>
      <c r="O82" s="245">
        <v>295</v>
      </c>
      <c r="R82" s="243">
        <v>40.950000000000003</v>
      </c>
      <c r="U82" s="242" t="s">
        <v>325</v>
      </c>
      <c r="V82" s="248" t="s">
        <v>325</v>
      </c>
      <c r="X82" s="243">
        <v>0</v>
      </c>
    </row>
    <row r="83" spans="1:24" s="247" customFormat="1" ht="15.5" customHeight="1">
      <c r="A83" s="117">
        <v>6368810106</v>
      </c>
      <c r="B83" s="240" t="s">
        <v>109</v>
      </c>
      <c r="C83" s="241" t="s">
        <v>186</v>
      </c>
      <c r="D83" s="242" t="s">
        <v>325</v>
      </c>
      <c r="E83" s="240" t="s">
        <v>326</v>
      </c>
      <c r="F83" s="242" t="s">
        <v>325</v>
      </c>
      <c r="G83" s="243">
        <v>20.62</v>
      </c>
      <c r="H83" s="243">
        <v>0</v>
      </c>
      <c r="I83" s="243">
        <v>20.62</v>
      </c>
      <c r="J83" s="244">
        <v>41376</v>
      </c>
      <c r="K83" s="244">
        <v>41373</v>
      </c>
      <c r="L83" s="245">
        <v>31</v>
      </c>
      <c r="M83" s="241" t="s">
        <v>327</v>
      </c>
      <c r="N83" s="246" t="s">
        <v>187</v>
      </c>
      <c r="O83" s="245">
        <v>0</v>
      </c>
      <c r="R83" s="243">
        <v>20.62</v>
      </c>
      <c r="U83" s="242" t="s">
        <v>325</v>
      </c>
      <c r="V83" s="248" t="s">
        <v>325</v>
      </c>
      <c r="X83" s="243">
        <v>0</v>
      </c>
    </row>
    <row r="84" spans="1:24" s="247" customFormat="1" ht="15.5" customHeight="1">
      <c r="A84" s="117">
        <v>6853819124</v>
      </c>
      <c r="B84" s="240" t="s">
        <v>109</v>
      </c>
      <c r="C84" s="241" t="s">
        <v>188</v>
      </c>
      <c r="D84" s="242" t="s">
        <v>325</v>
      </c>
      <c r="E84" s="240" t="s">
        <v>255</v>
      </c>
      <c r="F84" s="242" t="s">
        <v>325</v>
      </c>
      <c r="G84" s="243">
        <v>37.880000000000003</v>
      </c>
      <c r="H84" s="243">
        <v>0</v>
      </c>
      <c r="I84" s="243">
        <v>37.880000000000003</v>
      </c>
      <c r="J84" s="244">
        <v>41383</v>
      </c>
      <c r="K84" s="244">
        <v>41380</v>
      </c>
      <c r="L84" s="245">
        <v>32</v>
      </c>
      <c r="M84" s="241" t="s">
        <v>327</v>
      </c>
      <c r="N84" s="246" t="s">
        <v>189</v>
      </c>
      <c r="O84" s="245">
        <v>126</v>
      </c>
      <c r="R84" s="243">
        <v>37.880000000000003</v>
      </c>
      <c r="U84" s="242" t="s">
        <v>325</v>
      </c>
      <c r="V84" s="248" t="s">
        <v>325</v>
      </c>
      <c r="X84" s="243">
        <v>0</v>
      </c>
    </row>
    <row r="85" spans="1:24" s="247" customFormat="1" ht="15.5" customHeight="1">
      <c r="A85" s="117">
        <v>6857311003</v>
      </c>
      <c r="B85" s="240" t="s">
        <v>109</v>
      </c>
      <c r="C85" s="241" t="s">
        <v>190</v>
      </c>
      <c r="D85" s="242" t="s">
        <v>325</v>
      </c>
      <c r="E85" s="240" t="s">
        <v>255</v>
      </c>
      <c r="F85" s="242" t="s">
        <v>325</v>
      </c>
      <c r="G85" s="243">
        <v>21.74</v>
      </c>
      <c r="H85" s="243">
        <v>0</v>
      </c>
      <c r="I85" s="243">
        <v>21.74</v>
      </c>
      <c r="J85" s="244">
        <v>41383</v>
      </c>
      <c r="K85" s="244">
        <v>41380</v>
      </c>
      <c r="L85" s="245">
        <v>32</v>
      </c>
      <c r="M85" s="241" t="s">
        <v>327</v>
      </c>
      <c r="N85" s="246" t="s">
        <v>191</v>
      </c>
      <c r="O85" s="245">
        <v>5</v>
      </c>
      <c r="R85" s="243">
        <v>21.74</v>
      </c>
      <c r="U85" s="242" t="s">
        <v>325</v>
      </c>
      <c r="V85" s="248" t="s">
        <v>325</v>
      </c>
      <c r="X85" s="243">
        <v>0</v>
      </c>
    </row>
    <row r="86" spans="1:24" s="247" customFormat="1" ht="15.5" customHeight="1">
      <c r="A86" s="117">
        <v>7312015014</v>
      </c>
      <c r="B86" s="240" t="s">
        <v>109</v>
      </c>
      <c r="C86" s="241" t="s">
        <v>192</v>
      </c>
      <c r="D86" s="242" t="s">
        <v>325</v>
      </c>
      <c r="E86" s="240" t="s">
        <v>326</v>
      </c>
      <c r="F86" s="242" t="s">
        <v>325</v>
      </c>
      <c r="G86" s="243">
        <v>23.74</v>
      </c>
      <c r="H86" s="243">
        <v>0</v>
      </c>
      <c r="I86" s="243">
        <v>23.74</v>
      </c>
      <c r="J86" s="244">
        <v>41376</v>
      </c>
      <c r="K86" s="244">
        <v>41373</v>
      </c>
      <c r="L86" s="245">
        <v>31</v>
      </c>
      <c r="M86" s="241" t="s">
        <v>327</v>
      </c>
      <c r="N86" s="246" t="s">
        <v>193</v>
      </c>
      <c r="O86" s="245">
        <v>84</v>
      </c>
      <c r="R86" s="243">
        <v>26.61</v>
      </c>
      <c r="U86" s="242" t="s">
        <v>325</v>
      </c>
      <c r="V86" s="248" t="s">
        <v>325</v>
      </c>
      <c r="X86" s="243">
        <v>0</v>
      </c>
    </row>
    <row r="87" spans="1:24" s="247" customFormat="1" ht="15.5" customHeight="1">
      <c r="A87" s="117">
        <v>8193819106</v>
      </c>
      <c r="B87" s="240" t="s">
        <v>109</v>
      </c>
      <c r="C87" s="241" t="s">
        <v>205</v>
      </c>
      <c r="D87" s="242" t="s">
        <v>325</v>
      </c>
      <c r="E87" s="249" t="s">
        <v>325</v>
      </c>
      <c r="F87" s="241" t="s">
        <v>335</v>
      </c>
      <c r="G87" s="243">
        <v>412.14</v>
      </c>
      <c r="H87" s="243">
        <v>0</v>
      </c>
      <c r="I87" s="243">
        <v>412.14</v>
      </c>
      <c r="J87" s="244">
        <v>41383</v>
      </c>
      <c r="M87" s="242" t="s">
        <v>325</v>
      </c>
      <c r="N87" s="248" t="s">
        <v>325</v>
      </c>
      <c r="R87" s="243">
        <v>0</v>
      </c>
      <c r="S87" s="244">
        <v>41380</v>
      </c>
      <c r="T87" s="245">
        <v>32</v>
      </c>
      <c r="U87" s="241" t="s">
        <v>327</v>
      </c>
      <c r="V87" s="246" t="s">
        <v>88</v>
      </c>
      <c r="W87" s="245">
        <v>1712</v>
      </c>
      <c r="X87" s="243">
        <v>412.14</v>
      </c>
    </row>
    <row r="88" spans="1:24" s="247" customFormat="1" ht="15.5" customHeight="1">
      <c r="A88" s="117">
        <v>8714009102</v>
      </c>
      <c r="B88" s="240" t="s">
        <v>109</v>
      </c>
      <c r="C88" s="241" t="s">
        <v>89</v>
      </c>
      <c r="D88" s="242" t="s">
        <v>325</v>
      </c>
      <c r="E88" s="240" t="s">
        <v>326</v>
      </c>
      <c r="F88" s="241" t="s">
        <v>163</v>
      </c>
      <c r="G88" s="243">
        <v>307.33999999999997</v>
      </c>
      <c r="H88" s="243">
        <v>212.41</v>
      </c>
      <c r="I88" s="243">
        <v>94.93</v>
      </c>
      <c r="J88" s="244">
        <v>41354</v>
      </c>
      <c r="K88" s="244">
        <v>41351</v>
      </c>
      <c r="L88" s="245">
        <v>31</v>
      </c>
      <c r="M88" s="241" t="s">
        <v>327</v>
      </c>
      <c r="N88" s="246" t="s">
        <v>90</v>
      </c>
      <c r="O88" s="245">
        <v>805</v>
      </c>
      <c r="R88" s="243">
        <v>80.709999999999994</v>
      </c>
      <c r="S88" s="244">
        <v>41351</v>
      </c>
      <c r="T88" s="245">
        <v>31</v>
      </c>
      <c r="U88" s="241" t="s">
        <v>327</v>
      </c>
      <c r="V88" s="246" t="s">
        <v>91</v>
      </c>
      <c r="W88" s="245">
        <v>3</v>
      </c>
      <c r="X88" s="243">
        <v>25.52</v>
      </c>
    </row>
    <row r="89" spans="1:24" s="247" customFormat="1" ht="15.5" customHeight="1">
      <c r="A89" s="117">
        <v>8993882105</v>
      </c>
      <c r="B89" s="240" t="s">
        <v>109</v>
      </c>
      <c r="C89" s="241" t="s">
        <v>92</v>
      </c>
      <c r="D89" s="242" t="s">
        <v>325</v>
      </c>
      <c r="E89" s="240" t="s">
        <v>330</v>
      </c>
      <c r="F89" s="242" t="s">
        <v>325</v>
      </c>
      <c r="G89" s="243">
        <v>93.76</v>
      </c>
      <c r="H89" s="243">
        <v>0</v>
      </c>
      <c r="I89" s="243">
        <v>93.76</v>
      </c>
      <c r="J89" s="244">
        <v>41383</v>
      </c>
      <c r="K89" s="244">
        <v>41383</v>
      </c>
      <c r="L89" s="245">
        <v>30</v>
      </c>
      <c r="M89" s="241" t="s">
        <v>327</v>
      </c>
      <c r="N89" s="248" t="s">
        <v>325</v>
      </c>
      <c r="O89" s="245">
        <v>76</v>
      </c>
      <c r="R89" s="243">
        <v>95.13</v>
      </c>
      <c r="U89" s="242" t="s">
        <v>325</v>
      </c>
      <c r="V89" s="248" t="s">
        <v>325</v>
      </c>
      <c r="X89" s="243">
        <v>0</v>
      </c>
    </row>
    <row r="90" spans="1:24" s="247" customFormat="1" ht="15.5" customHeight="1">
      <c r="A90" s="117">
        <v>9308810101</v>
      </c>
      <c r="B90" s="240" t="s">
        <v>109</v>
      </c>
      <c r="C90" s="241" t="s">
        <v>337</v>
      </c>
      <c r="D90" s="242" t="s">
        <v>325</v>
      </c>
      <c r="E90" s="249" t="s">
        <v>325</v>
      </c>
      <c r="F90" s="241" t="s">
        <v>335</v>
      </c>
      <c r="G90" s="243">
        <v>109.96</v>
      </c>
      <c r="H90" s="243">
        <v>0</v>
      </c>
      <c r="I90" s="243">
        <v>109.96</v>
      </c>
      <c r="J90" s="244">
        <v>41376</v>
      </c>
      <c r="M90" s="242" t="s">
        <v>325</v>
      </c>
      <c r="N90" s="248" t="s">
        <v>325</v>
      </c>
      <c r="R90" s="243">
        <v>0</v>
      </c>
      <c r="S90" s="244">
        <v>41373</v>
      </c>
      <c r="T90" s="245">
        <v>31</v>
      </c>
      <c r="U90" s="241" t="s">
        <v>327</v>
      </c>
      <c r="V90" s="246" t="s">
        <v>93</v>
      </c>
      <c r="W90" s="245">
        <v>254</v>
      </c>
      <c r="X90" s="243">
        <v>109.96</v>
      </c>
    </row>
    <row r="91" spans="1:24" s="247" customFormat="1" ht="15.5" customHeight="1">
      <c r="A91" s="117">
        <v>9428808118</v>
      </c>
      <c r="B91" s="240" t="s">
        <v>109</v>
      </c>
      <c r="C91" s="241" t="s">
        <v>94</v>
      </c>
      <c r="D91" s="242" t="s">
        <v>325</v>
      </c>
      <c r="E91" s="249" t="s">
        <v>325</v>
      </c>
      <c r="F91" s="241" t="s">
        <v>236</v>
      </c>
      <c r="G91" s="243">
        <v>33.58</v>
      </c>
      <c r="H91" s="243">
        <v>0</v>
      </c>
      <c r="I91" s="243">
        <v>33.58</v>
      </c>
      <c r="J91" s="244">
        <v>41376</v>
      </c>
      <c r="K91" s="244">
        <v>41372</v>
      </c>
      <c r="L91" s="245">
        <v>30</v>
      </c>
      <c r="M91" s="241" t="s">
        <v>115</v>
      </c>
      <c r="N91" s="248" t="s">
        <v>325</v>
      </c>
      <c r="O91" s="245">
        <v>8</v>
      </c>
      <c r="R91" s="243">
        <v>17.350000000000001</v>
      </c>
      <c r="S91" s="244">
        <v>41373</v>
      </c>
      <c r="T91" s="245">
        <v>31</v>
      </c>
      <c r="U91" s="241" t="s">
        <v>327</v>
      </c>
      <c r="V91" s="246" t="s">
        <v>97</v>
      </c>
      <c r="W91" s="245">
        <v>0</v>
      </c>
      <c r="X91" s="243">
        <v>18.54</v>
      </c>
    </row>
    <row r="92" spans="1:24" s="247" customFormat="1" ht="15.5" customHeight="1">
      <c r="A92" s="117">
        <v>9488810107</v>
      </c>
      <c r="B92" s="240" t="s">
        <v>109</v>
      </c>
      <c r="C92" s="241" t="s">
        <v>337</v>
      </c>
      <c r="D92" s="242" t="s">
        <v>325</v>
      </c>
      <c r="E92" s="240" t="s">
        <v>332</v>
      </c>
      <c r="F92" s="242" t="s">
        <v>325</v>
      </c>
      <c r="G92" s="243">
        <v>253.37</v>
      </c>
      <c r="H92" s="243">
        <v>0</v>
      </c>
      <c r="I92" s="243">
        <v>253.37</v>
      </c>
      <c r="J92" s="244">
        <v>41376</v>
      </c>
      <c r="K92" s="244">
        <v>41374</v>
      </c>
      <c r="L92" s="245">
        <v>29</v>
      </c>
      <c r="M92" s="241" t="s">
        <v>327</v>
      </c>
      <c r="N92" s="246" t="s">
        <v>98</v>
      </c>
      <c r="O92" s="245">
        <v>1600</v>
      </c>
      <c r="P92" s="245">
        <v>16</v>
      </c>
      <c r="Q92" s="245">
        <v>0.14367816091954022</v>
      </c>
      <c r="R92" s="243">
        <v>253.37</v>
      </c>
      <c r="U92" s="242" t="s">
        <v>325</v>
      </c>
      <c r="V92" s="248" t="s">
        <v>325</v>
      </c>
      <c r="X92" s="243">
        <v>0</v>
      </c>
    </row>
    <row r="93" spans="1:24" s="247" customFormat="1" ht="15.5" customHeight="1">
      <c r="A93" s="117">
        <v>9529017113</v>
      </c>
      <c r="B93" s="240" t="s">
        <v>109</v>
      </c>
      <c r="C93" s="241" t="s">
        <v>99</v>
      </c>
      <c r="D93" s="242" t="s">
        <v>325</v>
      </c>
      <c r="E93" s="240" t="s">
        <v>326</v>
      </c>
      <c r="F93" s="242" t="s">
        <v>325</v>
      </c>
      <c r="G93" s="243">
        <v>20.62</v>
      </c>
      <c r="H93" s="243">
        <v>0</v>
      </c>
      <c r="I93" s="243">
        <v>20.62</v>
      </c>
      <c r="J93" s="244">
        <v>41379</v>
      </c>
      <c r="K93" s="244">
        <v>41374</v>
      </c>
      <c r="L93" s="245">
        <v>30</v>
      </c>
      <c r="M93" s="241" t="s">
        <v>327</v>
      </c>
      <c r="N93" s="246" t="s">
        <v>100</v>
      </c>
      <c r="O93" s="245">
        <v>0</v>
      </c>
      <c r="R93" s="243">
        <v>20.62</v>
      </c>
      <c r="U93" s="242" t="s">
        <v>325</v>
      </c>
      <c r="V93" s="248" t="s">
        <v>325</v>
      </c>
      <c r="X93" s="243">
        <v>0</v>
      </c>
    </row>
    <row r="94" spans="1:24" s="247" customFormat="1" ht="15.5" customHeight="1">
      <c r="A94" s="117">
        <v>9753819107</v>
      </c>
      <c r="B94" s="240" t="s">
        <v>109</v>
      </c>
      <c r="C94" s="241" t="s">
        <v>101</v>
      </c>
      <c r="D94" s="242" t="s">
        <v>325</v>
      </c>
      <c r="E94" s="240" t="s">
        <v>332</v>
      </c>
      <c r="F94" s="241" t="s">
        <v>277</v>
      </c>
      <c r="G94" s="243">
        <v>1001.99</v>
      </c>
      <c r="H94" s="243">
        <v>0</v>
      </c>
      <c r="I94" s="243">
        <v>1001.99</v>
      </c>
      <c r="J94" s="244">
        <v>41383</v>
      </c>
      <c r="K94" s="244">
        <v>41381</v>
      </c>
      <c r="L94" s="245">
        <v>29</v>
      </c>
      <c r="M94" s="241" t="s">
        <v>327</v>
      </c>
      <c r="N94" s="246" t="s">
        <v>102</v>
      </c>
      <c r="O94" s="245">
        <v>11840</v>
      </c>
      <c r="P94" s="245">
        <v>36.799999999999997</v>
      </c>
      <c r="Q94" s="245">
        <v>0.46226886556721636</v>
      </c>
      <c r="R94" s="243">
        <v>575.34</v>
      </c>
      <c r="S94" s="244">
        <v>41380</v>
      </c>
      <c r="T94" s="245">
        <v>32</v>
      </c>
      <c r="U94" s="241" t="s">
        <v>327</v>
      </c>
      <c r="V94" s="246" t="s">
        <v>103</v>
      </c>
      <c r="W94" s="245">
        <v>480</v>
      </c>
      <c r="X94" s="243">
        <v>426.65</v>
      </c>
    </row>
    <row r="95" spans="1:24" s="247" customFormat="1" ht="15.5" customHeight="1">
      <c r="A95" s="117">
        <v>9753820119</v>
      </c>
      <c r="B95" s="240" t="s">
        <v>109</v>
      </c>
      <c r="C95" s="241" t="s">
        <v>104</v>
      </c>
      <c r="D95" s="242" t="s">
        <v>325</v>
      </c>
      <c r="E95" s="240" t="s">
        <v>326</v>
      </c>
      <c r="F95" s="242" t="s">
        <v>325</v>
      </c>
      <c r="G95" s="243">
        <v>21.12</v>
      </c>
      <c r="H95" s="243">
        <v>0</v>
      </c>
      <c r="I95" s="243">
        <v>21.12</v>
      </c>
      <c r="J95" s="244">
        <v>41383</v>
      </c>
      <c r="K95" s="244">
        <v>41380</v>
      </c>
      <c r="L95" s="245">
        <v>32</v>
      </c>
      <c r="M95" s="241" t="s">
        <v>327</v>
      </c>
      <c r="N95" s="246" t="s">
        <v>105</v>
      </c>
      <c r="O95" s="245">
        <v>31</v>
      </c>
      <c r="R95" s="243">
        <v>22.76</v>
      </c>
      <c r="U95" s="242" t="s">
        <v>325</v>
      </c>
      <c r="V95" s="248" t="s">
        <v>325</v>
      </c>
      <c r="X95" s="243">
        <v>0</v>
      </c>
    </row>
    <row r="96" spans="1:24" s="247" customFormat="1" ht="15.5" customHeight="1">
      <c r="A96" s="117">
        <v>9953820104</v>
      </c>
      <c r="B96" s="240" t="s">
        <v>109</v>
      </c>
      <c r="C96" s="241" t="s">
        <v>106</v>
      </c>
      <c r="D96" s="242" t="s">
        <v>325</v>
      </c>
      <c r="E96" s="240" t="s">
        <v>326</v>
      </c>
      <c r="F96" s="242" t="s">
        <v>325</v>
      </c>
      <c r="G96" s="243">
        <v>29.45</v>
      </c>
      <c r="H96" s="243">
        <v>0</v>
      </c>
      <c r="I96" s="250">
        <v>29.45</v>
      </c>
      <c r="J96" s="244">
        <v>41383</v>
      </c>
      <c r="K96" s="244">
        <v>41380</v>
      </c>
      <c r="L96" s="245">
        <v>32</v>
      </c>
      <c r="M96" s="241" t="s">
        <v>327</v>
      </c>
      <c r="N96" s="246" t="s">
        <v>107</v>
      </c>
      <c r="O96" s="245">
        <v>128</v>
      </c>
      <c r="R96" s="243">
        <v>29.45</v>
      </c>
      <c r="U96" s="242" t="s">
        <v>325</v>
      </c>
      <c r="V96" s="248" t="s">
        <v>325</v>
      </c>
      <c r="X96" s="243">
        <v>0</v>
      </c>
    </row>
    <row r="97" spans="1:24" s="247" customFormat="1" ht="15.5" customHeight="1">
      <c r="A97" s="251"/>
      <c r="B97" s="252"/>
      <c r="C97" s="32"/>
      <c r="D97" s="32"/>
      <c r="E97" s="252"/>
      <c r="F97" s="32"/>
      <c r="G97" s="253"/>
      <c r="H97" s="253"/>
      <c r="I97" s="253"/>
      <c r="J97" s="32"/>
      <c r="K97" s="32"/>
      <c r="L97" s="32"/>
      <c r="M97" s="32"/>
      <c r="N97" s="51"/>
      <c r="O97" s="32"/>
      <c r="P97" s="32"/>
      <c r="Q97" s="32"/>
      <c r="R97" s="253"/>
      <c r="S97" s="32"/>
      <c r="T97" s="32"/>
      <c r="U97" s="32"/>
      <c r="V97" s="51"/>
      <c r="W97" s="32"/>
      <c r="X97" s="253"/>
    </row>
    <row r="98" spans="1:24" s="247" customFormat="1" ht="15.5" customHeight="1">
      <c r="A98" s="251"/>
      <c r="B98" s="252"/>
      <c r="C98" s="32"/>
      <c r="D98" s="32"/>
      <c r="E98" s="252"/>
      <c r="F98" s="32"/>
      <c r="G98" s="253"/>
      <c r="H98" s="253"/>
      <c r="I98" s="254">
        <f>SUM(I15:I97)</f>
        <v>18544.021000000001</v>
      </c>
      <c r="J98" s="32"/>
      <c r="K98" s="32"/>
      <c r="L98" s="32"/>
      <c r="M98" s="32"/>
      <c r="N98" s="51"/>
      <c r="O98" s="32"/>
      <c r="P98" s="32"/>
      <c r="Q98" s="32"/>
      <c r="R98" s="253"/>
      <c r="S98" s="32"/>
      <c r="T98" s="32"/>
      <c r="U98" s="32"/>
      <c r="V98" s="51"/>
      <c r="W98" s="32"/>
      <c r="X98" s="253"/>
    </row>
    <row r="99" spans="1:24" s="247" customFormat="1" ht="15.5" customHeight="1">
      <c r="A99" s="255"/>
      <c r="B99" s="50"/>
      <c r="E99" s="50"/>
      <c r="H99" s="256"/>
      <c r="I99" s="256"/>
      <c r="J99" s="256"/>
      <c r="N99" s="255"/>
      <c r="S99" s="256"/>
      <c r="V99" s="255"/>
    </row>
    <row r="100" spans="1:24" s="247" customFormat="1" ht="15.5" customHeight="1">
      <c r="A100" s="255"/>
      <c r="B100" s="50"/>
      <c r="E100" s="50"/>
      <c r="H100" s="256"/>
      <c r="I100" s="256"/>
      <c r="J100" s="256"/>
      <c r="N100" s="255"/>
      <c r="S100" s="256"/>
      <c r="V100" s="255"/>
    </row>
    <row r="101" spans="1:24" s="247" customFormat="1" ht="15.5" customHeight="1">
      <c r="A101" s="255"/>
      <c r="B101" s="50"/>
      <c r="E101" s="50"/>
      <c r="N101" s="255"/>
      <c r="V101" s="255"/>
    </row>
    <row r="102" spans="1:24" s="247" customFormat="1" ht="15.5" customHeight="1">
      <c r="A102" s="255"/>
      <c r="B102" s="50"/>
      <c r="E102" s="50"/>
      <c r="N102" s="255"/>
      <c r="V102" s="255"/>
    </row>
    <row r="103" spans="1:24" s="31" customFormat="1" ht="15.5" customHeight="1">
      <c r="A103" s="255"/>
      <c r="B103" s="50"/>
      <c r="E103" s="50"/>
      <c r="N103" s="255"/>
      <c r="V103" s="255"/>
    </row>
    <row r="104" spans="1:24" s="31" customFormat="1" ht="15.5" customHeight="1">
      <c r="A104" s="255"/>
      <c r="B104" s="50"/>
      <c r="E104" s="50"/>
      <c r="N104" s="255"/>
      <c r="V104" s="255"/>
    </row>
  </sheetData>
  <phoneticPr fontId="7" type="noConversion"/>
  <pageMargins left="0.45" right="0.45" top="0.25" bottom="0.25" header="0" footer="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4:Y98"/>
  <sheetViews>
    <sheetView zoomScaleNormal="71" zoomScaleSheetLayoutView="109" zoomScalePageLayoutView="71" workbookViewId="0">
      <selection sqref="A1:XFD1"/>
    </sheetView>
  </sheetViews>
  <sheetFormatPr baseColWidth="10" defaultColWidth="8.83203125" defaultRowHeight="14" x14ac:dyDescent="0"/>
  <cols>
    <col min="1" max="1" width="16" style="35" customWidth="1"/>
    <col min="2" max="2" width="12" style="35" customWidth="1"/>
    <col min="3" max="3" width="55.83203125" style="35" customWidth="1"/>
    <col min="4" max="4" width="14" style="35" customWidth="1"/>
    <col min="5" max="5" width="11.6640625" style="35" customWidth="1"/>
    <col min="6" max="6" width="9.6640625" style="35" hidden="1" customWidth="1"/>
    <col min="7" max="7" width="10.83203125" style="35" hidden="1" customWidth="1"/>
    <col min="8" max="8" width="10.6640625" style="257" hidden="1" customWidth="1"/>
    <col min="9" max="9" width="15.83203125" style="257" customWidth="1"/>
    <col min="10" max="10" width="11.33203125" style="257" hidden="1" customWidth="1"/>
    <col min="11" max="11" width="10.83203125" style="35" hidden="1" customWidth="1"/>
    <col min="12" max="12" width="4.5" style="35" hidden="1" customWidth="1"/>
    <col min="13" max="13" width="7.6640625" style="35" hidden="1" customWidth="1"/>
    <col min="14" max="14" width="10.1640625" style="35" hidden="1" customWidth="1"/>
    <col min="15" max="15" width="11" style="35" customWidth="1"/>
    <col min="16" max="16" width="6.6640625" style="35" hidden="1" customWidth="1"/>
    <col min="17" max="17" width="13.1640625" style="125" hidden="1" customWidth="1"/>
    <col min="18" max="18" width="19.5" style="35" customWidth="1"/>
    <col min="19" max="19" width="10.1640625" style="257" hidden="1" customWidth="1"/>
    <col min="20" max="20" width="5.5" style="35" hidden="1" customWidth="1"/>
    <col min="21" max="21" width="7.6640625" style="35" hidden="1" customWidth="1"/>
    <col min="22" max="22" width="9.1640625" style="35" hidden="1" customWidth="1"/>
    <col min="23" max="23" width="9" style="35" customWidth="1"/>
    <col min="24" max="24" width="19.33203125" style="35" customWidth="1"/>
    <col min="25" max="25" width="14" style="257" customWidth="1"/>
    <col min="26" max="16384" width="8.83203125" style="35"/>
  </cols>
  <sheetData>
    <row r="4" spans="1:25" ht="15" thickBot="1"/>
    <row r="5" spans="1:25" ht="15" thickBot="1">
      <c r="A5" s="707" t="s">
        <v>289</v>
      </c>
      <c r="B5" s="708"/>
      <c r="C5" s="708"/>
      <c r="D5" s="708"/>
      <c r="E5" s="709"/>
      <c r="G5" s="257"/>
      <c r="J5" s="35"/>
      <c r="R5" s="257"/>
      <c r="S5" s="35"/>
      <c r="X5" s="257"/>
      <c r="Y5" s="35"/>
    </row>
    <row r="6" spans="1:25" ht="15" thickBot="1">
      <c r="A6" s="715" t="s">
        <v>290</v>
      </c>
      <c r="B6" s="716"/>
      <c r="C6" s="716"/>
      <c r="D6" s="716"/>
      <c r="E6" s="717"/>
      <c r="G6" s="257"/>
      <c r="J6" s="35"/>
      <c r="R6" s="257"/>
      <c r="S6" s="35"/>
      <c r="X6" s="257"/>
      <c r="Y6" s="35"/>
    </row>
    <row r="7" spans="1:25">
      <c r="A7" s="89" t="s">
        <v>291</v>
      </c>
      <c r="B7" s="91"/>
      <c r="C7" s="91"/>
      <c r="D7" s="91"/>
      <c r="E7" s="92"/>
      <c r="G7" s="257"/>
      <c r="J7" s="35"/>
      <c r="R7" s="257"/>
      <c r="S7" s="35"/>
      <c r="X7" s="257"/>
      <c r="Y7" s="35"/>
    </row>
    <row r="8" spans="1:25" ht="15" thickBot="1">
      <c r="A8" s="258" t="s">
        <v>292</v>
      </c>
      <c r="B8" s="259"/>
      <c r="C8" s="259"/>
      <c r="D8" s="259"/>
      <c r="E8" s="260"/>
      <c r="G8" s="257"/>
      <c r="J8" s="35"/>
      <c r="R8" s="257"/>
      <c r="S8" s="35"/>
      <c r="X8" s="257"/>
      <c r="Y8" s="35"/>
    </row>
    <row r="9" spans="1:25" ht="15" thickBot="1">
      <c r="A9" s="148" t="s">
        <v>293</v>
      </c>
      <c r="B9" s="261" t="s">
        <v>294</v>
      </c>
      <c r="C9" s="262">
        <v>41417</v>
      </c>
      <c r="D9" s="148" t="s">
        <v>295</v>
      </c>
      <c r="E9" s="262">
        <f>C9+14</f>
        <v>41431</v>
      </c>
      <c r="G9" s="257"/>
      <c r="J9" s="35"/>
      <c r="R9" s="257"/>
      <c r="S9" s="35"/>
      <c r="X9" s="257"/>
      <c r="Y9" s="35"/>
    </row>
    <row r="10" spans="1:25" ht="15" thickBot="1">
      <c r="A10" s="191" t="s">
        <v>296</v>
      </c>
      <c r="B10" s="263">
        <f>I98</f>
        <v>20179.439999999995</v>
      </c>
      <c r="C10" s="91"/>
      <c r="D10" s="91"/>
      <c r="E10" s="92"/>
      <c r="G10" s="257"/>
      <c r="J10" s="35"/>
      <c r="R10" s="257"/>
      <c r="S10" s="35"/>
      <c r="X10" s="257"/>
      <c r="Y10" s="35"/>
    </row>
    <row r="11" spans="1:25" ht="15" thickBot="1">
      <c r="A11" s="718" t="s">
        <v>297</v>
      </c>
      <c r="B11" s="719"/>
      <c r="C11" s="264">
        <v>41386</v>
      </c>
      <c r="D11" s="154" t="s">
        <v>298</v>
      </c>
      <c r="E11" s="262">
        <v>41417</v>
      </c>
      <c r="G11" s="257"/>
      <c r="J11" s="35"/>
      <c r="R11" s="257"/>
      <c r="S11" s="35"/>
      <c r="X11" s="257"/>
      <c r="Y11" s="35"/>
    </row>
    <row r="12" spans="1:25" ht="15" thickBot="1">
      <c r="A12" s="265" t="s">
        <v>299</v>
      </c>
      <c r="B12" s="266"/>
      <c r="C12" s="266"/>
      <c r="D12" s="266"/>
      <c r="E12" s="261"/>
      <c r="G12" s="257"/>
      <c r="J12" s="35"/>
      <c r="R12" s="257"/>
      <c r="S12" s="35"/>
      <c r="X12" s="257"/>
      <c r="Y12" s="35"/>
    </row>
    <row r="13" spans="1:25" ht="15" thickBot="1">
      <c r="A13" s="195">
        <f>E11</f>
        <v>41417</v>
      </c>
      <c r="B13" s="266"/>
      <c r="C13" s="266"/>
      <c r="D13" s="266"/>
      <c r="E13" s="261"/>
      <c r="G13" s="257"/>
      <c r="J13" s="35"/>
      <c r="R13" s="257"/>
      <c r="S13" s="35"/>
      <c r="X13" s="257"/>
      <c r="Y13" s="35"/>
    </row>
    <row r="14" spans="1:25" s="269" customFormat="1" ht="34" customHeight="1">
      <c r="A14" s="267" t="s">
        <v>370</v>
      </c>
      <c r="B14" s="267" t="s">
        <v>108</v>
      </c>
      <c r="C14" s="267" t="s">
        <v>301</v>
      </c>
      <c r="D14" s="267" t="s">
        <v>302</v>
      </c>
      <c r="E14" s="267" t="s">
        <v>303</v>
      </c>
      <c r="F14" s="267" t="s">
        <v>304</v>
      </c>
      <c r="G14" s="268" t="s">
        <v>305</v>
      </c>
      <c r="H14" s="268" t="s">
        <v>306</v>
      </c>
      <c r="I14" s="268" t="s">
        <v>307</v>
      </c>
      <c r="J14" s="267" t="s">
        <v>308</v>
      </c>
      <c r="K14" s="267" t="s">
        <v>309</v>
      </c>
      <c r="L14" s="267" t="s">
        <v>310</v>
      </c>
      <c r="M14" s="267" t="s">
        <v>311</v>
      </c>
      <c r="N14" s="267" t="s">
        <v>312</v>
      </c>
      <c r="O14" s="267" t="s">
        <v>313</v>
      </c>
      <c r="P14" s="267" t="s">
        <v>314</v>
      </c>
      <c r="Q14" s="267" t="s">
        <v>315</v>
      </c>
      <c r="R14" s="268" t="s">
        <v>316</v>
      </c>
      <c r="S14" s="267" t="s">
        <v>317</v>
      </c>
      <c r="T14" s="267" t="s">
        <v>318</v>
      </c>
      <c r="U14" s="267" t="s">
        <v>319</v>
      </c>
      <c r="V14" s="267" t="s">
        <v>320</v>
      </c>
      <c r="W14" s="267" t="s">
        <v>321</v>
      </c>
      <c r="X14" s="268" t="s">
        <v>322</v>
      </c>
    </row>
    <row r="15" spans="1:25" ht="13.5" customHeight="1">
      <c r="A15" s="270">
        <v>143027007</v>
      </c>
      <c r="B15" s="119" t="s">
        <v>109</v>
      </c>
      <c r="C15" s="119" t="s">
        <v>324</v>
      </c>
      <c r="D15" s="271" t="s">
        <v>325</v>
      </c>
      <c r="E15" s="119" t="s">
        <v>326</v>
      </c>
      <c r="F15" s="271" t="s">
        <v>325</v>
      </c>
      <c r="G15" s="120">
        <v>23.25</v>
      </c>
      <c r="H15" s="120">
        <v>0</v>
      </c>
      <c r="I15" s="120">
        <v>23.25</v>
      </c>
      <c r="J15" s="121">
        <v>41416</v>
      </c>
      <c r="K15" s="121">
        <v>41411</v>
      </c>
      <c r="L15" s="122">
        <v>31</v>
      </c>
      <c r="M15" s="119" t="s">
        <v>327</v>
      </c>
      <c r="N15" s="119" t="s">
        <v>328</v>
      </c>
      <c r="O15" s="122">
        <v>42</v>
      </c>
      <c r="R15" s="120">
        <v>23.25</v>
      </c>
      <c r="S15" s="35"/>
      <c r="U15" s="271" t="s">
        <v>325</v>
      </c>
      <c r="V15" s="271" t="s">
        <v>325</v>
      </c>
      <c r="X15" s="120">
        <v>0</v>
      </c>
      <c r="Y15" s="35"/>
    </row>
    <row r="16" spans="1:25" ht="13.5" customHeight="1">
      <c r="A16" s="270">
        <v>173880101</v>
      </c>
      <c r="B16" s="119" t="s">
        <v>109</v>
      </c>
      <c r="C16" s="119" t="s">
        <v>329</v>
      </c>
      <c r="D16" s="271" t="s">
        <v>325</v>
      </c>
      <c r="E16" s="119" t="s">
        <v>330</v>
      </c>
      <c r="F16" s="271" t="s">
        <v>325</v>
      </c>
      <c r="G16" s="120">
        <v>10.11</v>
      </c>
      <c r="H16" s="120">
        <v>0</v>
      </c>
      <c r="I16" s="120">
        <v>10.11</v>
      </c>
      <c r="J16" s="121">
        <v>41416</v>
      </c>
      <c r="K16" s="121">
        <v>41416</v>
      </c>
      <c r="L16" s="122">
        <v>33</v>
      </c>
      <c r="M16" s="119" t="s">
        <v>327</v>
      </c>
      <c r="N16" s="271" t="s">
        <v>325</v>
      </c>
      <c r="O16" s="122">
        <v>53</v>
      </c>
      <c r="R16" s="120">
        <v>10.11</v>
      </c>
      <c r="S16" s="35"/>
      <c r="U16" s="271" t="s">
        <v>325</v>
      </c>
      <c r="V16" s="271" t="s">
        <v>325</v>
      </c>
      <c r="X16" s="120">
        <v>0</v>
      </c>
      <c r="Y16" s="35"/>
    </row>
    <row r="17" spans="1:25" ht="13.5" customHeight="1">
      <c r="A17" s="270">
        <v>208811116</v>
      </c>
      <c r="B17" s="119" t="s">
        <v>109</v>
      </c>
      <c r="C17" s="119" t="s">
        <v>331</v>
      </c>
      <c r="D17" s="271" t="s">
        <v>325</v>
      </c>
      <c r="E17" s="119" t="s">
        <v>332</v>
      </c>
      <c r="F17" s="271" t="s">
        <v>325</v>
      </c>
      <c r="G17" s="120">
        <v>150.13</v>
      </c>
      <c r="H17" s="120">
        <v>0</v>
      </c>
      <c r="I17" s="120">
        <v>150.13</v>
      </c>
      <c r="J17" s="121">
        <v>41408</v>
      </c>
      <c r="K17" s="121">
        <v>41403</v>
      </c>
      <c r="L17" s="122">
        <v>30</v>
      </c>
      <c r="M17" s="119" t="s">
        <v>327</v>
      </c>
      <c r="N17" s="119" t="s">
        <v>333</v>
      </c>
      <c r="O17" s="122">
        <v>2053</v>
      </c>
      <c r="P17" s="122">
        <v>7.4</v>
      </c>
      <c r="Q17" s="272">
        <v>0.38532282282282282</v>
      </c>
      <c r="R17" s="120">
        <v>150.13</v>
      </c>
      <c r="S17" s="35"/>
      <c r="U17" s="271" t="s">
        <v>325</v>
      </c>
      <c r="V17" s="271" t="s">
        <v>325</v>
      </c>
      <c r="X17" s="120">
        <v>0</v>
      </c>
      <c r="Y17" s="35"/>
    </row>
    <row r="18" spans="1:25" ht="13.5" customHeight="1">
      <c r="A18" s="270">
        <v>248811109</v>
      </c>
      <c r="B18" s="119" t="s">
        <v>109</v>
      </c>
      <c r="C18" s="119" t="s">
        <v>334</v>
      </c>
      <c r="D18" s="271" t="s">
        <v>325</v>
      </c>
      <c r="E18" s="271" t="s">
        <v>325</v>
      </c>
      <c r="F18" s="119" t="s">
        <v>335</v>
      </c>
      <c r="G18" s="120">
        <v>113.46</v>
      </c>
      <c r="H18" s="120">
        <v>0</v>
      </c>
      <c r="I18" s="120">
        <v>113.46</v>
      </c>
      <c r="J18" s="121">
        <v>41408</v>
      </c>
      <c r="M18" s="271" t="s">
        <v>325</v>
      </c>
      <c r="N18" s="271" t="s">
        <v>325</v>
      </c>
      <c r="R18" s="120">
        <v>0</v>
      </c>
      <c r="S18" s="121">
        <v>41408</v>
      </c>
      <c r="T18" s="122">
        <v>35</v>
      </c>
      <c r="U18" s="119" t="s">
        <v>327</v>
      </c>
      <c r="V18" s="119" t="s">
        <v>336</v>
      </c>
      <c r="W18" s="122">
        <v>273</v>
      </c>
      <c r="X18" s="120">
        <v>113.46</v>
      </c>
      <c r="Y18" s="35"/>
    </row>
    <row r="19" spans="1:25" ht="13.5" customHeight="1">
      <c r="A19" s="270">
        <v>288811101</v>
      </c>
      <c r="B19" s="119" t="s">
        <v>109</v>
      </c>
      <c r="C19" s="119" t="s">
        <v>337</v>
      </c>
      <c r="D19" s="271" t="s">
        <v>325</v>
      </c>
      <c r="E19" s="119" t="s">
        <v>332</v>
      </c>
      <c r="F19" s="271" t="s">
        <v>325</v>
      </c>
      <c r="G19" s="120">
        <v>496.18</v>
      </c>
      <c r="H19" s="120">
        <v>0</v>
      </c>
      <c r="I19" s="120">
        <v>496.18</v>
      </c>
      <c r="J19" s="121">
        <v>41408</v>
      </c>
      <c r="K19" s="121">
        <v>41403</v>
      </c>
      <c r="L19" s="122">
        <v>30</v>
      </c>
      <c r="M19" s="119" t="s">
        <v>327</v>
      </c>
      <c r="N19" s="119" t="s">
        <v>338</v>
      </c>
      <c r="O19" s="122">
        <v>8400</v>
      </c>
      <c r="P19" s="122">
        <v>34.4</v>
      </c>
      <c r="Q19" s="272">
        <v>0.33914728682170547</v>
      </c>
      <c r="R19" s="120">
        <v>496.18</v>
      </c>
      <c r="S19" s="35"/>
      <c r="U19" s="271" t="s">
        <v>325</v>
      </c>
      <c r="V19" s="271" t="s">
        <v>325</v>
      </c>
      <c r="X19" s="120">
        <v>0</v>
      </c>
      <c r="Y19" s="35"/>
    </row>
    <row r="20" spans="1:25" ht="13.5" customHeight="1">
      <c r="A20" s="270">
        <v>293879106</v>
      </c>
      <c r="B20" s="119" t="s">
        <v>109</v>
      </c>
      <c r="C20" s="119" t="s">
        <v>339</v>
      </c>
      <c r="D20" s="119" t="s">
        <v>340</v>
      </c>
      <c r="E20" s="119" t="s">
        <v>330</v>
      </c>
      <c r="F20" s="271" t="s">
        <v>325</v>
      </c>
      <c r="G20" s="120">
        <v>249.81</v>
      </c>
      <c r="H20" s="120">
        <v>0</v>
      </c>
      <c r="I20" s="120">
        <v>249.81</v>
      </c>
      <c r="J20" s="121">
        <v>41416</v>
      </c>
      <c r="K20" s="121">
        <v>41416</v>
      </c>
      <c r="L20" s="122">
        <v>33</v>
      </c>
      <c r="M20" s="119" t="s">
        <v>327</v>
      </c>
      <c r="N20" s="271" t="s">
        <v>325</v>
      </c>
      <c r="O20" s="122">
        <v>661</v>
      </c>
      <c r="R20" s="120">
        <v>249.81</v>
      </c>
      <c r="S20" s="35"/>
      <c r="U20" s="271" t="s">
        <v>325</v>
      </c>
      <c r="V20" s="271" t="s">
        <v>325</v>
      </c>
      <c r="X20" s="120">
        <v>0</v>
      </c>
      <c r="Y20" s="35"/>
    </row>
    <row r="21" spans="1:25" ht="13.5" customHeight="1">
      <c r="A21" s="270">
        <v>308809118</v>
      </c>
      <c r="B21" s="119" t="s">
        <v>109</v>
      </c>
      <c r="C21" s="119" t="s">
        <v>341</v>
      </c>
      <c r="D21" s="271" t="s">
        <v>325</v>
      </c>
      <c r="E21" s="119" t="s">
        <v>342</v>
      </c>
      <c r="F21" s="119" t="s">
        <v>236</v>
      </c>
      <c r="G21" s="120">
        <v>181.38</v>
      </c>
      <c r="H21" s="120">
        <v>0</v>
      </c>
      <c r="I21" s="120">
        <v>181.38</v>
      </c>
      <c r="J21" s="121">
        <v>41408</v>
      </c>
      <c r="K21" s="121">
        <v>41408</v>
      </c>
      <c r="L21" s="122">
        <v>35</v>
      </c>
      <c r="M21" s="119" t="s">
        <v>327</v>
      </c>
      <c r="N21" s="119" t="s">
        <v>237</v>
      </c>
      <c r="O21" s="122">
        <v>403</v>
      </c>
      <c r="R21" s="120">
        <v>37.1</v>
      </c>
      <c r="S21" s="121">
        <v>41408</v>
      </c>
      <c r="T21" s="122">
        <v>35</v>
      </c>
      <c r="U21" s="119" t="s">
        <v>327</v>
      </c>
      <c r="V21" s="119" t="s">
        <v>238</v>
      </c>
      <c r="W21" s="122">
        <v>171</v>
      </c>
      <c r="X21" s="120">
        <v>144.28</v>
      </c>
      <c r="Y21" s="35"/>
    </row>
    <row r="22" spans="1:25" ht="13.5" customHeight="1">
      <c r="A22" s="270">
        <v>375074007</v>
      </c>
      <c r="B22" s="119" t="s">
        <v>109</v>
      </c>
      <c r="C22" s="119" t="s">
        <v>239</v>
      </c>
      <c r="D22" s="271" t="s">
        <v>325</v>
      </c>
      <c r="E22" s="119" t="s">
        <v>326</v>
      </c>
      <c r="F22" s="271" t="s">
        <v>325</v>
      </c>
      <c r="G22" s="120">
        <v>24.79</v>
      </c>
      <c r="H22" s="120">
        <v>0</v>
      </c>
      <c r="I22" s="120">
        <v>24.79</v>
      </c>
      <c r="J22" s="121">
        <v>41416</v>
      </c>
      <c r="K22" s="121">
        <v>41411</v>
      </c>
      <c r="L22" s="122">
        <v>30</v>
      </c>
      <c r="M22" s="119" t="s">
        <v>327</v>
      </c>
      <c r="N22" s="119" t="s">
        <v>241</v>
      </c>
      <c r="O22" s="122">
        <v>66</v>
      </c>
      <c r="R22" s="120">
        <v>24.79</v>
      </c>
      <c r="S22" s="35"/>
      <c r="U22" s="271" t="s">
        <v>325</v>
      </c>
      <c r="V22" s="271" t="s">
        <v>325</v>
      </c>
      <c r="X22" s="120">
        <v>0</v>
      </c>
      <c r="Y22" s="35"/>
    </row>
    <row r="23" spans="1:25" ht="13.5" customHeight="1">
      <c r="A23" s="270">
        <v>783104003</v>
      </c>
      <c r="B23" s="119" t="s">
        <v>109</v>
      </c>
      <c r="C23" s="119" t="s">
        <v>242</v>
      </c>
      <c r="D23" s="271" t="s">
        <v>325</v>
      </c>
      <c r="E23" s="119" t="s">
        <v>326</v>
      </c>
      <c r="F23" s="271" t="s">
        <v>325</v>
      </c>
      <c r="G23" s="120">
        <v>21.75</v>
      </c>
      <c r="H23" s="120">
        <v>0</v>
      </c>
      <c r="I23" s="120">
        <v>21.75</v>
      </c>
      <c r="J23" s="121">
        <v>41408</v>
      </c>
      <c r="K23" s="121">
        <v>41403</v>
      </c>
      <c r="L23" s="122">
        <v>30</v>
      </c>
      <c r="M23" s="119" t="s">
        <v>327</v>
      </c>
      <c r="N23" s="119" t="s">
        <v>243</v>
      </c>
      <c r="O23" s="122">
        <v>18</v>
      </c>
      <c r="R23" s="120">
        <v>21.75</v>
      </c>
      <c r="S23" s="35"/>
      <c r="U23" s="271" t="s">
        <v>325</v>
      </c>
      <c r="V23" s="271" t="s">
        <v>325</v>
      </c>
      <c r="X23" s="120">
        <v>0</v>
      </c>
      <c r="Y23" s="35"/>
    </row>
    <row r="24" spans="1:25" ht="13.5" customHeight="1">
      <c r="A24" s="270">
        <v>852028007</v>
      </c>
      <c r="B24" s="119" t="s">
        <v>109</v>
      </c>
      <c r="C24" s="119" t="s">
        <v>244</v>
      </c>
      <c r="D24" s="271" t="s">
        <v>325</v>
      </c>
      <c r="E24" s="271" t="s">
        <v>325</v>
      </c>
      <c r="F24" s="119" t="s">
        <v>335</v>
      </c>
      <c r="G24" s="120">
        <v>41.04</v>
      </c>
      <c r="H24" s="120">
        <v>0</v>
      </c>
      <c r="I24" s="120">
        <v>41.04</v>
      </c>
      <c r="J24" s="121">
        <v>41416</v>
      </c>
      <c r="M24" s="271" t="s">
        <v>325</v>
      </c>
      <c r="N24" s="271" t="s">
        <v>325</v>
      </c>
      <c r="R24" s="120">
        <v>0</v>
      </c>
      <c r="S24" s="121">
        <v>41411</v>
      </c>
      <c r="T24" s="122">
        <v>31</v>
      </c>
      <c r="U24" s="119" t="s">
        <v>327</v>
      </c>
      <c r="V24" s="119" t="s">
        <v>245</v>
      </c>
      <c r="W24" s="122">
        <v>54</v>
      </c>
      <c r="X24" s="120">
        <v>41.04</v>
      </c>
      <c r="Y24" s="35"/>
    </row>
    <row r="25" spans="1:25" ht="13.5" customHeight="1">
      <c r="A25" s="270">
        <v>893816110</v>
      </c>
      <c r="B25" s="119" t="s">
        <v>109</v>
      </c>
      <c r="C25" s="119" t="s">
        <v>246</v>
      </c>
      <c r="D25" s="271" t="s">
        <v>325</v>
      </c>
      <c r="E25" s="119" t="s">
        <v>326</v>
      </c>
      <c r="F25" s="271" t="s">
        <v>325</v>
      </c>
      <c r="G25" s="120">
        <v>27.16</v>
      </c>
      <c r="H25" s="120">
        <v>0</v>
      </c>
      <c r="I25" s="120">
        <v>27.16</v>
      </c>
      <c r="J25" s="121">
        <v>41416</v>
      </c>
      <c r="K25" s="121">
        <v>41411</v>
      </c>
      <c r="L25" s="122">
        <v>30</v>
      </c>
      <c r="M25" s="119" t="s">
        <v>327</v>
      </c>
      <c r="N25" s="119" t="s">
        <v>247</v>
      </c>
      <c r="O25" s="122">
        <v>104</v>
      </c>
      <c r="R25" s="120">
        <v>27.16</v>
      </c>
      <c r="S25" s="35"/>
      <c r="U25" s="271" t="s">
        <v>325</v>
      </c>
      <c r="V25" s="271" t="s">
        <v>325</v>
      </c>
      <c r="X25" s="120">
        <v>0</v>
      </c>
      <c r="Y25" s="35"/>
    </row>
    <row r="26" spans="1:25" ht="13.5" customHeight="1">
      <c r="A26" s="270">
        <v>893819102</v>
      </c>
      <c r="B26" s="119" t="s">
        <v>109</v>
      </c>
      <c r="C26" s="119" t="s">
        <v>248</v>
      </c>
      <c r="D26" s="271" t="s">
        <v>325</v>
      </c>
      <c r="E26" s="271" t="s">
        <v>325</v>
      </c>
      <c r="F26" s="119" t="s">
        <v>335</v>
      </c>
      <c r="G26" s="120">
        <v>28.95</v>
      </c>
      <c r="H26" s="120">
        <v>0</v>
      </c>
      <c r="I26" s="120">
        <v>28.95</v>
      </c>
      <c r="J26" s="121">
        <v>41416</v>
      </c>
      <c r="M26" s="271" t="s">
        <v>325</v>
      </c>
      <c r="N26" s="271" t="s">
        <v>325</v>
      </c>
      <c r="R26" s="120">
        <v>0</v>
      </c>
      <c r="S26" s="121">
        <v>41411</v>
      </c>
      <c r="T26" s="122">
        <v>31</v>
      </c>
      <c r="U26" s="119" t="s">
        <v>327</v>
      </c>
      <c r="V26" s="119" t="s">
        <v>249</v>
      </c>
      <c r="W26" s="122">
        <v>18</v>
      </c>
      <c r="X26" s="120">
        <v>28.95</v>
      </c>
      <c r="Y26" s="35"/>
    </row>
    <row r="27" spans="1:25" ht="13.5" customHeight="1">
      <c r="A27" s="270">
        <v>913819100</v>
      </c>
      <c r="B27" s="119" t="s">
        <v>109</v>
      </c>
      <c r="C27" s="119" t="s">
        <v>250</v>
      </c>
      <c r="D27" s="271" t="s">
        <v>325</v>
      </c>
      <c r="E27" s="271" t="s">
        <v>325</v>
      </c>
      <c r="F27" s="119" t="s">
        <v>335</v>
      </c>
      <c r="G27" s="120">
        <v>28.95</v>
      </c>
      <c r="H27" s="120">
        <v>0</v>
      </c>
      <c r="I27" s="120">
        <v>28.95</v>
      </c>
      <c r="J27" s="121">
        <v>41416</v>
      </c>
      <c r="M27" s="271" t="s">
        <v>325</v>
      </c>
      <c r="N27" s="271" t="s">
        <v>325</v>
      </c>
      <c r="R27" s="120">
        <v>0</v>
      </c>
      <c r="S27" s="121">
        <v>41411</v>
      </c>
      <c r="T27" s="122">
        <v>31</v>
      </c>
      <c r="U27" s="119" t="s">
        <v>327</v>
      </c>
      <c r="V27" s="119" t="s">
        <v>251</v>
      </c>
      <c r="W27" s="122">
        <v>18</v>
      </c>
      <c r="X27" s="120">
        <v>28.95</v>
      </c>
      <c r="Y27" s="35"/>
    </row>
    <row r="28" spans="1:25" ht="13.5" customHeight="1">
      <c r="A28" s="270">
        <v>933819115</v>
      </c>
      <c r="B28" s="119" t="s">
        <v>109</v>
      </c>
      <c r="C28" s="119" t="s">
        <v>252</v>
      </c>
      <c r="D28" s="271" t="s">
        <v>325</v>
      </c>
      <c r="E28" s="271" t="s">
        <v>325</v>
      </c>
      <c r="F28" s="119" t="s">
        <v>335</v>
      </c>
      <c r="G28" s="120">
        <v>36.32</v>
      </c>
      <c r="H28" s="120">
        <v>0</v>
      </c>
      <c r="I28" s="120">
        <v>36.32</v>
      </c>
      <c r="J28" s="121">
        <v>41416</v>
      </c>
      <c r="M28" s="271" t="s">
        <v>325</v>
      </c>
      <c r="N28" s="271" t="s">
        <v>325</v>
      </c>
      <c r="R28" s="120">
        <v>0</v>
      </c>
      <c r="S28" s="121">
        <v>41411</v>
      </c>
      <c r="T28" s="122">
        <v>31</v>
      </c>
      <c r="U28" s="119" t="s">
        <v>327</v>
      </c>
      <c r="V28" s="119" t="s">
        <v>253</v>
      </c>
      <c r="W28" s="122">
        <v>40</v>
      </c>
      <c r="X28" s="120">
        <v>36.32</v>
      </c>
      <c r="Y28" s="35"/>
    </row>
    <row r="29" spans="1:25" ht="13.5" customHeight="1">
      <c r="A29" s="270">
        <v>948810124</v>
      </c>
      <c r="B29" s="119" t="s">
        <v>109</v>
      </c>
      <c r="C29" s="119" t="s">
        <v>254</v>
      </c>
      <c r="D29" s="271" t="s">
        <v>325</v>
      </c>
      <c r="E29" s="119" t="s">
        <v>255</v>
      </c>
      <c r="F29" s="271" t="s">
        <v>325</v>
      </c>
      <c r="G29" s="120">
        <v>96.56</v>
      </c>
      <c r="H29" s="120">
        <v>0</v>
      </c>
      <c r="I29" s="120">
        <v>96.56</v>
      </c>
      <c r="J29" s="121">
        <v>41408</v>
      </c>
      <c r="K29" s="121">
        <v>41403</v>
      </c>
      <c r="L29" s="122">
        <v>30</v>
      </c>
      <c r="M29" s="119" t="s">
        <v>327</v>
      </c>
      <c r="N29" s="119" t="s">
        <v>256</v>
      </c>
      <c r="O29" s="122">
        <v>529</v>
      </c>
      <c r="R29" s="120">
        <v>96.56</v>
      </c>
      <c r="S29" s="35"/>
      <c r="U29" s="271" t="s">
        <v>325</v>
      </c>
      <c r="V29" s="271" t="s">
        <v>325</v>
      </c>
      <c r="X29" s="120">
        <v>0</v>
      </c>
      <c r="Y29" s="35"/>
    </row>
    <row r="30" spans="1:25" ht="13.5" customHeight="1">
      <c r="A30" s="270">
        <v>1028809119</v>
      </c>
      <c r="B30" s="119" t="s">
        <v>109</v>
      </c>
      <c r="C30" s="119" t="s">
        <v>257</v>
      </c>
      <c r="D30" s="271" t="s">
        <v>325</v>
      </c>
      <c r="E30" s="119" t="s">
        <v>255</v>
      </c>
      <c r="F30" s="271" t="s">
        <v>325</v>
      </c>
      <c r="G30" s="120">
        <v>20.62</v>
      </c>
      <c r="H30" s="120">
        <v>0</v>
      </c>
      <c r="I30" s="120">
        <v>20.62</v>
      </c>
      <c r="J30" s="121">
        <v>41408</v>
      </c>
      <c r="K30" s="121">
        <v>41408</v>
      </c>
      <c r="L30" s="122">
        <v>35</v>
      </c>
      <c r="M30" s="119" t="s">
        <v>327</v>
      </c>
      <c r="N30" s="119" t="s">
        <v>258</v>
      </c>
      <c r="O30" s="122">
        <v>0</v>
      </c>
      <c r="R30" s="120">
        <v>20.62</v>
      </c>
      <c r="S30" s="35"/>
      <c r="U30" s="271" t="s">
        <v>325</v>
      </c>
      <c r="V30" s="271" t="s">
        <v>325</v>
      </c>
      <c r="X30" s="120">
        <v>0</v>
      </c>
      <c r="Y30" s="35"/>
    </row>
    <row r="31" spans="1:25" ht="13.5" customHeight="1">
      <c r="A31" s="270">
        <v>1133133008</v>
      </c>
      <c r="B31" s="119" t="s">
        <v>109</v>
      </c>
      <c r="C31" s="119" t="s">
        <v>259</v>
      </c>
      <c r="D31" s="271" t="s">
        <v>325</v>
      </c>
      <c r="E31" s="119" t="s">
        <v>326</v>
      </c>
      <c r="F31" s="271" t="s">
        <v>325</v>
      </c>
      <c r="G31" s="120">
        <v>30.87</v>
      </c>
      <c r="H31" s="120">
        <v>0</v>
      </c>
      <c r="I31" s="120">
        <v>30.87</v>
      </c>
      <c r="J31" s="121">
        <v>41402</v>
      </c>
      <c r="K31" s="121">
        <v>41397</v>
      </c>
      <c r="L31" s="122">
        <v>31</v>
      </c>
      <c r="M31" s="119" t="s">
        <v>327</v>
      </c>
      <c r="N31" s="119" t="s">
        <v>260</v>
      </c>
      <c r="O31" s="122">
        <v>161</v>
      </c>
      <c r="R31" s="120">
        <v>30.87</v>
      </c>
      <c r="S31" s="35"/>
      <c r="U31" s="271" t="s">
        <v>325</v>
      </c>
      <c r="V31" s="271" t="s">
        <v>325</v>
      </c>
      <c r="X31" s="120">
        <v>0</v>
      </c>
      <c r="Y31" s="35"/>
    </row>
    <row r="32" spans="1:25" ht="13.5" customHeight="1">
      <c r="A32" s="270">
        <v>1133819101</v>
      </c>
      <c r="B32" s="119" t="s">
        <v>109</v>
      </c>
      <c r="C32" s="119" t="s">
        <v>261</v>
      </c>
      <c r="D32" s="271" t="s">
        <v>325</v>
      </c>
      <c r="E32" s="119" t="s">
        <v>326</v>
      </c>
      <c r="F32" s="271" t="s">
        <v>325</v>
      </c>
      <c r="G32" s="120">
        <v>48.75</v>
      </c>
      <c r="H32" s="120">
        <v>0</v>
      </c>
      <c r="I32" s="120">
        <v>48.75</v>
      </c>
      <c r="J32" s="121">
        <v>41416</v>
      </c>
      <c r="K32" s="121">
        <v>41411</v>
      </c>
      <c r="L32" s="122">
        <v>31</v>
      </c>
      <c r="M32" s="119" t="s">
        <v>327</v>
      </c>
      <c r="N32" s="119" t="s">
        <v>262</v>
      </c>
      <c r="O32" s="122">
        <v>446</v>
      </c>
      <c r="R32" s="120">
        <v>48.75</v>
      </c>
      <c r="S32" s="35"/>
      <c r="U32" s="271" t="s">
        <v>325</v>
      </c>
      <c r="V32" s="271" t="s">
        <v>325</v>
      </c>
      <c r="X32" s="120">
        <v>0</v>
      </c>
      <c r="Y32" s="35"/>
    </row>
    <row r="33" spans="1:25" ht="13.5" customHeight="1">
      <c r="A33" s="270">
        <v>1193808115</v>
      </c>
      <c r="B33" s="119" t="s">
        <v>109</v>
      </c>
      <c r="C33" s="119" t="s">
        <v>263</v>
      </c>
      <c r="D33" s="271" t="s">
        <v>325</v>
      </c>
      <c r="E33" s="119" t="s">
        <v>326</v>
      </c>
      <c r="F33" s="271" t="s">
        <v>325</v>
      </c>
      <c r="G33" s="120">
        <v>38.520000000000003</v>
      </c>
      <c r="H33" s="120">
        <v>0</v>
      </c>
      <c r="I33" s="120">
        <v>38.520000000000003</v>
      </c>
      <c r="J33" s="121">
        <v>41416</v>
      </c>
      <c r="K33" s="121">
        <v>41411</v>
      </c>
      <c r="L33" s="122">
        <v>31</v>
      </c>
      <c r="M33" s="119" t="s">
        <v>327</v>
      </c>
      <c r="N33" s="119" t="s">
        <v>264</v>
      </c>
      <c r="O33" s="122">
        <v>284</v>
      </c>
      <c r="R33" s="120">
        <v>38.520000000000003</v>
      </c>
      <c r="S33" s="35"/>
      <c r="U33" s="271" t="s">
        <v>325</v>
      </c>
      <c r="V33" s="271" t="s">
        <v>325</v>
      </c>
      <c r="X33" s="120">
        <v>0</v>
      </c>
      <c r="Y33" s="35"/>
    </row>
    <row r="34" spans="1:25" ht="13.5" customHeight="1">
      <c r="A34" s="270">
        <v>1492627005</v>
      </c>
      <c r="B34" s="119" t="s">
        <v>109</v>
      </c>
      <c r="C34" s="119" t="s">
        <v>265</v>
      </c>
      <c r="D34" s="271" t="s">
        <v>325</v>
      </c>
      <c r="E34" s="119" t="s">
        <v>326</v>
      </c>
      <c r="F34" s="271" t="s">
        <v>325</v>
      </c>
      <c r="G34" s="120">
        <v>26.12</v>
      </c>
      <c r="H34" s="120">
        <v>0</v>
      </c>
      <c r="I34" s="120">
        <v>26.12</v>
      </c>
      <c r="J34" s="121">
        <v>41408</v>
      </c>
      <c r="K34" s="121">
        <v>41403</v>
      </c>
      <c r="L34" s="122">
        <v>30</v>
      </c>
      <c r="M34" s="119" t="s">
        <v>327</v>
      </c>
      <c r="N34" s="119" t="s">
        <v>266</v>
      </c>
      <c r="O34" s="122">
        <v>87</v>
      </c>
      <c r="R34" s="120">
        <v>26.12</v>
      </c>
      <c r="S34" s="35"/>
      <c r="U34" s="271" t="s">
        <v>325</v>
      </c>
      <c r="V34" s="271" t="s">
        <v>325</v>
      </c>
      <c r="X34" s="120">
        <v>0</v>
      </c>
      <c r="Y34" s="35"/>
    </row>
    <row r="35" spans="1:25" ht="13.5" customHeight="1">
      <c r="A35" s="270">
        <v>1513818115</v>
      </c>
      <c r="B35" s="119" t="s">
        <v>109</v>
      </c>
      <c r="C35" s="119" t="s">
        <v>267</v>
      </c>
      <c r="D35" s="271" t="s">
        <v>325</v>
      </c>
      <c r="E35" s="119" t="s">
        <v>326</v>
      </c>
      <c r="F35" s="271" t="s">
        <v>325</v>
      </c>
      <c r="G35" s="120">
        <v>32.020000000000003</v>
      </c>
      <c r="H35" s="120">
        <v>0</v>
      </c>
      <c r="I35" s="120">
        <v>32.020000000000003</v>
      </c>
      <c r="J35" s="121">
        <v>41416</v>
      </c>
      <c r="K35" s="121">
        <v>41411</v>
      </c>
      <c r="L35" s="122">
        <v>31</v>
      </c>
      <c r="M35" s="119" t="s">
        <v>327</v>
      </c>
      <c r="N35" s="119" t="s">
        <v>268</v>
      </c>
      <c r="O35" s="122">
        <v>181</v>
      </c>
      <c r="R35" s="120">
        <v>32.020000000000003</v>
      </c>
      <c r="S35" s="35"/>
      <c r="U35" s="271" t="s">
        <v>325</v>
      </c>
      <c r="V35" s="271" t="s">
        <v>325</v>
      </c>
      <c r="X35" s="120">
        <v>0</v>
      </c>
      <c r="Y35" s="35"/>
    </row>
    <row r="36" spans="1:25" ht="13.5" customHeight="1">
      <c r="A36" s="270">
        <v>1608811106</v>
      </c>
      <c r="B36" s="119" t="s">
        <v>109</v>
      </c>
      <c r="C36" s="119" t="s">
        <v>337</v>
      </c>
      <c r="D36" s="271" t="s">
        <v>325</v>
      </c>
      <c r="E36" s="119" t="s">
        <v>332</v>
      </c>
      <c r="F36" s="271" t="s">
        <v>325</v>
      </c>
      <c r="G36" s="120">
        <v>584.08000000000004</v>
      </c>
      <c r="H36" s="120">
        <v>0</v>
      </c>
      <c r="I36" s="120">
        <v>584.08000000000004</v>
      </c>
      <c r="J36" s="121">
        <v>41408</v>
      </c>
      <c r="K36" s="121">
        <v>41403</v>
      </c>
      <c r="L36" s="122">
        <v>29</v>
      </c>
      <c r="M36" s="119" t="s">
        <v>327</v>
      </c>
      <c r="N36" s="119" t="s">
        <v>111</v>
      </c>
      <c r="O36" s="122">
        <v>3492</v>
      </c>
      <c r="P36" s="122">
        <v>47.6</v>
      </c>
      <c r="Q36" s="272">
        <v>0.10540423065778036</v>
      </c>
      <c r="R36" s="120">
        <v>584.08000000000004</v>
      </c>
      <c r="S36" s="35"/>
      <c r="U36" s="271" t="s">
        <v>325</v>
      </c>
      <c r="V36" s="271" t="s">
        <v>325</v>
      </c>
      <c r="X36" s="120">
        <v>0</v>
      </c>
      <c r="Y36" s="35"/>
    </row>
    <row r="37" spans="1:25" ht="13.5" customHeight="1">
      <c r="A37" s="270">
        <v>1653819107</v>
      </c>
      <c r="B37" s="119" t="s">
        <v>109</v>
      </c>
      <c r="C37" s="119" t="s">
        <v>270</v>
      </c>
      <c r="D37" s="271" t="s">
        <v>325</v>
      </c>
      <c r="E37" s="119" t="s">
        <v>326</v>
      </c>
      <c r="F37" s="271" t="s">
        <v>325</v>
      </c>
      <c r="G37" s="120">
        <v>75.400000000000006</v>
      </c>
      <c r="H37" s="120">
        <v>0</v>
      </c>
      <c r="I37" s="120">
        <v>75.400000000000006</v>
      </c>
      <c r="J37" s="121">
        <v>41416</v>
      </c>
      <c r="K37" s="121">
        <v>41411</v>
      </c>
      <c r="L37" s="122">
        <v>31</v>
      </c>
      <c r="M37" s="119" t="s">
        <v>327</v>
      </c>
      <c r="N37" s="119" t="s">
        <v>271</v>
      </c>
      <c r="O37" s="122">
        <v>869</v>
      </c>
      <c r="R37" s="120">
        <v>75.400000000000006</v>
      </c>
      <c r="S37" s="35"/>
      <c r="U37" s="271" t="s">
        <v>325</v>
      </c>
      <c r="V37" s="271" t="s">
        <v>325</v>
      </c>
      <c r="X37" s="120">
        <v>0</v>
      </c>
      <c r="Y37" s="35"/>
    </row>
    <row r="38" spans="1:25" ht="13.5" customHeight="1">
      <c r="A38" s="270">
        <v>1833820108</v>
      </c>
      <c r="B38" s="119" t="s">
        <v>109</v>
      </c>
      <c r="C38" s="119" t="s">
        <v>272</v>
      </c>
      <c r="D38" s="271" t="s">
        <v>325</v>
      </c>
      <c r="E38" s="119" t="s">
        <v>326</v>
      </c>
      <c r="F38" s="271" t="s">
        <v>325</v>
      </c>
      <c r="G38" s="120">
        <v>77.05</v>
      </c>
      <c r="H38" s="120">
        <v>0</v>
      </c>
      <c r="I38" s="120">
        <v>77.05</v>
      </c>
      <c r="J38" s="121">
        <v>41416</v>
      </c>
      <c r="K38" s="121">
        <v>41411</v>
      </c>
      <c r="L38" s="122">
        <v>31</v>
      </c>
      <c r="M38" s="119" t="s">
        <v>327</v>
      </c>
      <c r="N38" s="119" t="s">
        <v>273</v>
      </c>
      <c r="O38" s="122">
        <v>895</v>
      </c>
      <c r="R38" s="120">
        <v>77.05</v>
      </c>
      <c r="S38" s="35"/>
      <c r="U38" s="271" t="s">
        <v>325</v>
      </c>
      <c r="V38" s="271" t="s">
        <v>325</v>
      </c>
      <c r="X38" s="120">
        <v>0</v>
      </c>
      <c r="Y38" s="35"/>
    </row>
    <row r="39" spans="1:25" ht="13.5" customHeight="1">
      <c r="A39" s="270">
        <v>1851009009</v>
      </c>
      <c r="B39" s="119" t="s">
        <v>109</v>
      </c>
      <c r="C39" s="119" t="s">
        <v>274</v>
      </c>
      <c r="D39" s="271" t="s">
        <v>325</v>
      </c>
      <c r="E39" s="119" t="s">
        <v>326</v>
      </c>
      <c r="F39" s="271" t="s">
        <v>325</v>
      </c>
      <c r="G39" s="120">
        <v>49.25</v>
      </c>
      <c r="H39" s="120">
        <v>0</v>
      </c>
      <c r="I39" s="120">
        <v>49.25</v>
      </c>
      <c r="J39" s="121">
        <v>41416</v>
      </c>
      <c r="K39" s="121">
        <v>41411</v>
      </c>
      <c r="L39" s="122">
        <v>31</v>
      </c>
      <c r="M39" s="119" t="s">
        <v>327</v>
      </c>
      <c r="N39" s="119" t="s">
        <v>275</v>
      </c>
      <c r="O39" s="122">
        <v>454</v>
      </c>
      <c r="R39" s="120">
        <v>49.25</v>
      </c>
      <c r="S39" s="35"/>
      <c r="U39" s="271" t="s">
        <v>325</v>
      </c>
      <c r="V39" s="271" t="s">
        <v>325</v>
      </c>
      <c r="X39" s="120">
        <v>0</v>
      </c>
      <c r="Y39" s="35"/>
    </row>
    <row r="40" spans="1:25" ht="13.5" customHeight="1">
      <c r="A40" s="270">
        <v>1933810131</v>
      </c>
      <c r="B40" s="119" t="s">
        <v>109</v>
      </c>
      <c r="C40" s="119" t="s">
        <v>276</v>
      </c>
      <c r="D40" s="271" t="s">
        <v>325</v>
      </c>
      <c r="E40" s="119" t="s">
        <v>332</v>
      </c>
      <c r="F40" s="119" t="s">
        <v>277</v>
      </c>
      <c r="G40" s="120">
        <v>314.07</v>
      </c>
      <c r="H40" s="120">
        <v>0</v>
      </c>
      <c r="I40" s="120">
        <v>314.07</v>
      </c>
      <c r="J40" s="121">
        <v>41416</v>
      </c>
      <c r="K40" s="121">
        <v>41411</v>
      </c>
      <c r="L40" s="122">
        <v>31</v>
      </c>
      <c r="M40" s="119" t="s">
        <v>327</v>
      </c>
      <c r="N40" s="119" t="s">
        <v>278</v>
      </c>
      <c r="O40" s="122">
        <v>1977</v>
      </c>
      <c r="P40" s="122">
        <v>14.9</v>
      </c>
      <c r="Q40" s="272">
        <v>0.17833946741718987</v>
      </c>
      <c r="R40" s="120">
        <v>227.82</v>
      </c>
      <c r="S40" s="121">
        <v>41411</v>
      </c>
      <c r="T40" s="122">
        <v>31</v>
      </c>
      <c r="U40" s="119" t="s">
        <v>327</v>
      </c>
      <c r="V40" s="119" t="s">
        <v>279</v>
      </c>
      <c r="W40" s="122">
        <v>72</v>
      </c>
      <c r="X40" s="120">
        <v>86.25</v>
      </c>
      <c r="Y40" s="35"/>
    </row>
    <row r="41" spans="1:25" ht="13.5" customHeight="1">
      <c r="A41" s="270">
        <v>2133819102</v>
      </c>
      <c r="B41" s="119" t="s">
        <v>109</v>
      </c>
      <c r="C41" s="119" t="s">
        <v>280</v>
      </c>
      <c r="D41" s="271" t="s">
        <v>325</v>
      </c>
      <c r="E41" s="119" t="s">
        <v>332</v>
      </c>
      <c r="F41" s="271" t="s">
        <v>325</v>
      </c>
      <c r="G41" s="120">
        <v>164.46</v>
      </c>
      <c r="H41" s="120">
        <v>0</v>
      </c>
      <c r="I41" s="120">
        <v>164.46</v>
      </c>
      <c r="J41" s="121">
        <v>41416</v>
      </c>
      <c r="K41" s="121">
        <v>41411</v>
      </c>
      <c r="L41" s="122">
        <v>31</v>
      </c>
      <c r="M41" s="119" t="s">
        <v>327</v>
      </c>
      <c r="N41" s="119" t="s">
        <v>112</v>
      </c>
      <c r="O41" s="122">
        <v>984</v>
      </c>
      <c r="P41" s="122">
        <v>9.8000000000000007</v>
      </c>
      <c r="Q41" s="272">
        <v>0.13495720868992758</v>
      </c>
      <c r="R41" s="120">
        <v>164.46</v>
      </c>
      <c r="S41" s="35"/>
      <c r="U41" s="271" t="s">
        <v>325</v>
      </c>
      <c r="V41" s="271" t="s">
        <v>325</v>
      </c>
      <c r="X41" s="120">
        <v>0</v>
      </c>
      <c r="Y41" s="35"/>
    </row>
    <row r="42" spans="1:25" ht="13.5" customHeight="1">
      <c r="A42" s="270">
        <v>2133821120</v>
      </c>
      <c r="B42" s="119" t="s">
        <v>109</v>
      </c>
      <c r="C42" s="119" t="s">
        <v>194</v>
      </c>
      <c r="D42" s="271" t="s">
        <v>325</v>
      </c>
      <c r="E42" s="119" t="s">
        <v>326</v>
      </c>
      <c r="F42" s="271" t="s">
        <v>325</v>
      </c>
      <c r="G42" s="120">
        <v>52.51</v>
      </c>
      <c r="H42" s="120">
        <v>0</v>
      </c>
      <c r="I42" s="120">
        <v>52.51</v>
      </c>
      <c r="J42" s="121">
        <v>41416</v>
      </c>
      <c r="K42" s="121">
        <v>41411</v>
      </c>
      <c r="L42" s="122">
        <v>30</v>
      </c>
      <c r="M42" s="119" t="s">
        <v>327</v>
      </c>
      <c r="N42" s="119" t="s">
        <v>195</v>
      </c>
      <c r="O42" s="122">
        <v>506</v>
      </c>
      <c r="R42" s="120">
        <v>52.51</v>
      </c>
      <c r="S42" s="35"/>
      <c r="U42" s="271" t="s">
        <v>325</v>
      </c>
      <c r="V42" s="271" t="s">
        <v>325</v>
      </c>
      <c r="X42" s="120">
        <v>0</v>
      </c>
      <c r="Y42" s="35"/>
    </row>
    <row r="43" spans="1:25" ht="13.5" customHeight="1">
      <c r="A43" s="270">
        <v>2137454018</v>
      </c>
      <c r="B43" s="119" t="s">
        <v>109</v>
      </c>
      <c r="C43" s="119" t="s">
        <v>196</v>
      </c>
      <c r="D43" s="271" t="s">
        <v>325</v>
      </c>
      <c r="E43" s="119" t="s">
        <v>255</v>
      </c>
      <c r="F43" s="271" t="s">
        <v>325</v>
      </c>
      <c r="G43" s="120">
        <v>21.33</v>
      </c>
      <c r="H43" s="120">
        <v>0</v>
      </c>
      <c r="I43" s="120">
        <v>21.33</v>
      </c>
      <c r="J43" s="121">
        <v>41416</v>
      </c>
      <c r="K43" s="121">
        <v>41411</v>
      </c>
      <c r="L43" s="122">
        <v>31</v>
      </c>
      <c r="M43" s="119" t="s">
        <v>327</v>
      </c>
      <c r="N43" s="119" t="s">
        <v>197</v>
      </c>
      <c r="O43" s="122">
        <v>5</v>
      </c>
      <c r="R43" s="120">
        <v>21.33</v>
      </c>
      <c r="S43" s="35"/>
      <c r="U43" s="271" t="s">
        <v>325</v>
      </c>
      <c r="V43" s="271" t="s">
        <v>325</v>
      </c>
      <c r="X43" s="120">
        <v>0</v>
      </c>
      <c r="Y43" s="35"/>
    </row>
    <row r="44" spans="1:25" ht="13.5" customHeight="1">
      <c r="A44" s="270">
        <v>2217686007</v>
      </c>
      <c r="B44" s="119" t="s">
        <v>109</v>
      </c>
      <c r="C44" s="119" t="s">
        <v>198</v>
      </c>
      <c r="D44" s="271" t="s">
        <v>325</v>
      </c>
      <c r="E44" s="119" t="s">
        <v>255</v>
      </c>
      <c r="F44" s="271" t="s">
        <v>325</v>
      </c>
      <c r="G44" s="120">
        <v>62.93</v>
      </c>
      <c r="H44" s="120">
        <v>0</v>
      </c>
      <c r="I44" s="120">
        <v>62.93</v>
      </c>
      <c r="J44" s="121">
        <v>41416</v>
      </c>
      <c r="K44" s="121">
        <v>41411</v>
      </c>
      <c r="L44" s="122">
        <v>31</v>
      </c>
      <c r="M44" s="119" t="s">
        <v>327</v>
      </c>
      <c r="N44" s="119" t="s">
        <v>199</v>
      </c>
      <c r="O44" s="122">
        <v>290</v>
      </c>
      <c r="R44" s="120">
        <v>62.93</v>
      </c>
      <c r="S44" s="35"/>
      <c r="U44" s="271" t="s">
        <v>325</v>
      </c>
      <c r="V44" s="271" t="s">
        <v>325</v>
      </c>
      <c r="X44" s="120">
        <v>0</v>
      </c>
      <c r="Y44" s="35"/>
    </row>
    <row r="45" spans="1:25" ht="13.5" customHeight="1">
      <c r="A45" s="270">
        <v>2480127108</v>
      </c>
      <c r="B45" s="119" t="s">
        <v>109</v>
      </c>
      <c r="C45" s="119" t="s">
        <v>200</v>
      </c>
      <c r="D45" s="271" t="s">
        <v>325</v>
      </c>
      <c r="E45" s="119" t="s">
        <v>201</v>
      </c>
      <c r="F45" s="271" t="s">
        <v>325</v>
      </c>
      <c r="G45" s="120">
        <v>88.27</v>
      </c>
      <c r="H45" s="120">
        <v>43.42</v>
      </c>
      <c r="I45" s="120">
        <v>44.85</v>
      </c>
      <c r="J45" s="121">
        <v>41395</v>
      </c>
      <c r="K45" s="121">
        <v>41395</v>
      </c>
      <c r="L45" s="122">
        <v>30</v>
      </c>
      <c r="M45" s="119" t="s">
        <v>327</v>
      </c>
      <c r="N45" s="271" t="s">
        <v>325</v>
      </c>
      <c r="O45" s="122">
        <v>332</v>
      </c>
      <c r="R45" s="120">
        <v>44.85</v>
      </c>
      <c r="S45" s="35"/>
      <c r="U45" s="271" t="s">
        <v>325</v>
      </c>
      <c r="V45" s="271" t="s">
        <v>325</v>
      </c>
      <c r="X45" s="120">
        <v>0</v>
      </c>
      <c r="Y45" s="35"/>
    </row>
    <row r="46" spans="1:25" ht="13.5" customHeight="1">
      <c r="A46" s="270">
        <v>2533809113</v>
      </c>
      <c r="B46" s="119" t="s">
        <v>109</v>
      </c>
      <c r="C46" s="119" t="s">
        <v>202</v>
      </c>
      <c r="D46" s="271" t="s">
        <v>325</v>
      </c>
      <c r="E46" s="119" t="s">
        <v>326</v>
      </c>
      <c r="F46" s="119" t="s">
        <v>277</v>
      </c>
      <c r="G46" s="120">
        <v>95.88</v>
      </c>
      <c r="H46" s="120">
        <v>0</v>
      </c>
      <c r="I46" s="120">
        <v>95.88</v>
      </c>
      <c r="J46" s="121">
        <v>41416</v>
      </c>
      <c r="K46" s="121">
        <v>41411</v>
      </c>
      <c r="L46" s="122">
        <v>30</v>
      </c>
      <c r="M46" s="119" t="s">
        <v>327</v>
      </c>
      <c r="N46" s="119" t="s">
        <v>116</v>
      </c>
      <c r="O46" s="122">
        <v>658</v>
      </c>
      <c r="R46" s="120">
        <v>62.08</v>
      </c>
      <c r="S46" s="121">
        <v>41411</v>
      </c>
      <c r="T46" s="122">
        <v>31</v>
      </c>
      <c r="U46" s="119" t="s">
        <v>327</v>
      </c>
      <c r="V46" s="119" t="s">
        <v>204</v>
      </c>
      <c r="W46" s="122">
        <v>12</v>
      </c>
      <c r="X46" s="120">
        <v>33.799999999999997</v>
      </c>
      <c r="Y46" s="35"/>
    </row>
    <row r="47" spans="1:25" ht="13.5" customHeight="1">
      <c r="A47" s="270">
        <v>2693810107</v>
      </c>
      <c r="B47" s="119" t="s">
        <v>109</v>
      </c>
      <c r="C47" s="119" t="s">
        <v>205</v>
      </c>
      <c r="D47" s="271" t="s">
        <v>325</v>
      </c>
      <c r="E47" s="119" t="s">
        <v>332</v>
      </c>
      <c r="F47" s="271" t="s">
        <v>325</v>
      </c>
      <c r="G47" s="120">
        <v>635.78</v>
      </c>
      <c r="H47" s="120">
        <v>635.78</v>
      </c>
      <c r="I47" s="120">
        <v>0</v>
      </c>
      <c r="J47" s="121">
        <v>41383</v>
      </c>
      <c r="K47" s="121">
        <v>41380</v>
      </c>
      <c r="L47" s="122">
        <v>32</v>
      </c>
      <c r="M47" s="119" t="s">
        <v>327</v>
      </c>
      <c r="N47" s="119" t="s">
        <v>206</v>
      </c>
      <c r="O47" s="122">
        <v>9440</v>
      </c>
      <c r="P47" s="122">
        <v>43.6</v>
      </c>
      <c r="Q47" s="272">
        <v>0.28191896024464835</v>
      </c>
      <c r="R47" s="120">
        <v>635.78</v>
      </c>
      <c r="S47" s="35"/>
      <c r="U47" s="271" t="s">
        <v>325</v>
      </c>
      <c r="V47" s="271" t="s">
        <v>325</v>
      </c>
      <c r="X47" s="120">
        <v>0</v>
      </c>
      <c r="Y47" s="35"/>
    </row>
    <row r="48" spans="1:25" ht="13.5" customHeight="1">
      <c r="A48" s="270">
        <v>2703112003</v>
      </c>
      <c r="B48" s="119" t="s">
        <v>109</v>
      </c>
      <c r="C48" s="119" t="s">
        <v>207</v>
      </c>
      <c r="D48" s="271" t="s">
        <v>325</v>
      </c>
      <c r="E48" s="119" t="s">
        <v>332</v>
      </c>
      <c r="F48" s="271" t="s">
        <v>325</v>
      </c>
      <c r="G48" s="120">
        <v>893.06</v>
      </c>
      <c r="H48" s="120">
        <v>0</v>
      </c>
      <c r="I48" s="120">
        <v>893.06</v>
      </c>
      <c r="J48" s="121">
        <v>41408</v>
      </c>
      <c r="K48" s="121">
        <v>41403</v>
      </c>
      <c r="L48" s="122">
        <v>30</v>
      </c>
      <c r="M48" s="119" t="s">
        <v>327</v>
      </c>
      <c r="N48" s="119" t="s">
        <v>208</v>
      </c>
      <c r="O48" s="122">
        <v>1774</v>
      </c>
      <c r="P48" s="122">
        <v>78.900000000000006</v>
      </c>
      <c r="Q48" s="272">
        <v>3.1227996056893397E-2</v>
      </c>
      <c r="R48" s="120">
        <v>893.06</v>
      </c>
      <c r="S48" s="35"/>
      <c r="U48" s="271" t="s">
        <v>325</v>
      </c>
      <c r="V48" s="271" t="s">
        <v>325</v>
      </c>
      <c r="X48" s="120">
        <v>0</v>
      </c>
      <c r="Y48" s="35"/>
    </row>
    <row r="49" spans="1:25" ht="13.5" customHeight="1">
      <c r="A49" s="270">
        <v>2773821106</v>
      </c>
      <c r="B49" s="119" t="s">
        <v>109</v>
      </c>
      <c r="C49" s="119" t="s">
        <v>209</v>
      </c>
      <c r="D49" s="271" t="s">
        <v>325</v>
      </c>
      <c r="E49" s="119" t="s">
        <v>255</v>
      </c>
      <c r="F49" s="271" t="s">
        <v>325</v>
      </c>
      <c r="G49" s="120">
        <v>20.62</v>
      </c>
      <c r="H49" s="120">
        <v>0</v>
      </c>
      <c r="I49" s="120">
        <v>20.62</v>
      </c>
      <c r="J49" s="121">
        <v>41416</v>
      </c>
      <c r="K49" s="121">
        <v>41411</v>
      </c>
      <c r="L49" s="122">
        <v>31</v>
      </c>
      <c r="M49" s="119" t="s">
        <v>327</v>
      </c>
      <c r="N49" s="119" t="s">
        <v>210</v>
      </c>
      <c r="O49" s="122">
        <v>0</v>
      </c>
      <c r="R49" s="120">
        <v>20.62</v>
      </c>
      <c r="S49" s="35"/>
      <c r="U49" s="271" t="s">
        <v>325</v>
      </c>
      <c r="V49" s="271" t="s">
        <v>325</v>
      </c>
      <c r="X49" s="120">
        <v>0</v>
      </c>
      <c r="Y49" s="35"/>
    </row>
    <row r="50" spans="1:25" ht="13.5" customHeight="1">
      <c r="A50" s="270">
        <v>2856106004</v>
      </c>
      <c r="B50" s="119" t="s">
        <v>109</v>
      </c>
      <c r="C50" s="119" t="s">
        <v>211</v>
      </c>
      <c r="D50" s="271" t="s">
        <v>325</v>
      </c>
      <c r="E50" s="271" t="s">
        <v>325</v>
      </c>
      <c r="F50" s="119" t="s">
        <v>335</v>
      </c>
      <c r="G50" s="120">
        <v>25.58</v>
      </c>
      <c r="H50" s="120">
        <v>0</v>
      </c>
      <c r="I50" s="120">
        <v>25.58</v>
      </c>
      <c r="J50" s="121">
        <v>41408</v>
      </c>
      <c r="M50" s="271" t="s">
        <v>325</v>
      </c>
      <c r="N50" s="271" t="s">
        <v>325</v>
      </c>
      <c r="R50" s="120">
        <v>0</v>
      </c>
      <c r="S50" s="121">
        <v>41403</v>
      </c>
      <c r="T50" s="122">
        <v>30</v>
      </c>
      <c r="U50" s="119" t="s">
        <v>327</v>
      </c>
      <c r="V50" s="119" t="s">
        <v>212</v>
      </c>
      <c r="W50" s="122">
        <v>8</v>
      </c>
      <c r="X50" s="120">
        <v>25.58</v>
      </c>
      <c r="Y50" s="35"/>
    </row>
    <row r="51" spans="1:25" ht="13.5" customHeight="1">
      <c r="A51" s="270">
        <v>2860127100</v>
      </c>
      <c r="B51" s="119" t="s">
        <v>109</v>
      </c>
      <c r="C51" s="119" t="s">
        <v>213</v>
      </c>
      <c r="D51" s="271" t="s">
        <v>325</v>
      </c>
      <c r="E51" s="119" t="s">
        <v>201</v>
      </c>
      <c r="F51" s="271" t="s">
        <v>325</v>
      </c>
      <c r="G51" s="120">
        <v>108.63</v>
      </c>
      <c r="H51" s="120">
        <v>53.36</v>
      </c>
      <c r="I51" s="120">
        <v>55.27</v>
      </c>
      <c r="J51" s="121">
        <v>41395</v>
      </c>
      <c r="K51" s="121">
        <v>41395</v>
      </c>
      <c r="L51" s="122">
        <v>30</v>
      </c>
      <c r="M51" s="119" t="s">
        <v>327</v>
      </c>
      <c r="N51" s="271" t="s">
        <v>325</v>
      </c>
      <c r="O51" s="122">
        <v>312</v>
      </c>
      <c r="R51" s="120">
        <v>55.27</v>
      </c>
      <c r="S51" s="35"/>
      <c r="U51" s="271" t="s">
        <v>325</v>
      </c>
      <c r="V51" s="271" t="s">
        <v>325</v>
      </c>
      <c r="X51" s="120">
        <v>0</v>
      </c>
      <c r="Y51" s="35"/>
    </row>
    <row r="52" spans="1:25" ht="13.5" customHeight="1">
      <c r="A52" s="270">
        <v>3040127109</v>
      </c>
      <c r="B52" s="119" t="s">
        <v>109</v>
      </c>
      <c r="C52" s="119" t="s">
        <v>214</v>
      </c>
      <c r="D52" s="271" t="s">
        <v>325</v>
      </c>
      <c r="E52" s="119" t="s">
        <v>201</v>
      </c>
      <c r="F52" s="271" t="s">
        <v>325</v>
      </c>
      <c r="G52" s="120">
        <v>112.16</v>
      </c>
      <c r="H52" s="120">
        <v>55.18</v>
      </c>
      <c r="I52" s="120">
        <v>56.98</v>
      </c>
      <c r="J52" s="121">
        <v>41395</v>
      </c>
      <c r="K52" s="121">
        <v>41395</v>
      </c>
      <c r="L52" s="122">
        <v>30</v>
      </c>
      <c r="M52" s="119" t="s">
        <v>327</v>
      </c>
      <c r="N52" s="271" t="s">
        <v>325</v>
      </c>
      <c r="O52" s="122">
        <v>326</v>
      </c>
      <c r="R52" s="120">
        <v>56.98</v>
      </c>
      <c r="S52" s="35"/>
      <c r="U52" s="271" t="s">
        <v>325</v>
      </c>
      <c r="V52" s="271" t="s">
        <v>325</v>
      </c>
      <c r="X52" s="120">
        <v>0</v>
      </c>
      <c r="Y52" s="35"/>
    </row>
    <row r="53" spans="1:25" ht="13.5" customHeight="1">
      <c r="A53" s="270">
        <v>3128810107</v>
      </c>
      <c r="B53" s="119" t="s">
        <v>109</v>
      </c>
      <c r="C53" s="119" t="s">
        <v>215</v>
      </c>
      <c r="D53" s="271" t="s">
        <v>325</v>
      </c>
      <c r="E53" s="119" t="s">
        <v>326</v>
      </c>
      <c r="F53" s="271" t="s">
        <v>325</v>
      </c>
      <c r="G53" s="120">
        <v>20.93</v>
      </c>
      <c r="H53" s="120">
        <v>0</v>
      </c>
      <c r="I53" s="120">
        <v>20.93</v>
      </c>
      <c r="J53" s="121">
        <v>41408</v>
      </c>
      <c r="K53" s="121">
        <v>41403</v>
      </c>
      <c r="L53" s="122">
        <v>30</v>
      </c>
      <c r="M53" s="119" t="s">
        <v>327</v>
      </c>
      <c r="N53" s="119" t="s">
        <v>216</v>
      </c>
      <c r="O53" s="122">
        <v>5</v>
      </c>
      <c r="R53" s="120">
        <v>20.93</v>
      </c>
      <c r="S53" s="35"/>
      <c r="U53" s="271" t="s">
        <v>325</v>
      </c>
      <c r="V53" s="271" t="s">
        <v>325</v>
      </c>
      <c r="X53" s="120">
        <v>0</v>
      </c>
      <c r="Y53" s="35"/>
    </row>
    <row r="54" spans="1:25" ht="13.5" customHeight="1">
      <c r="A54" s="270">
        <v>3195056004</v>
      </c>
      <c r="B54" s="119" t="s">
        <v>109</v>
      </c>
      <c r="C54" s="119" t="s">
        <v>217</v>
      </c>
      <c r="D54" s="271" t="s">
        <v>325</v>
      </c>
      <c r="E54" s="119" t="s">
        <v>326</v>
      </c>
      <c r="F54" s="271" t="s">
        <v>325</v>
      </c>
      <c r="G54" s="120">
        <v>21.25</v>
      </c>
      <c r="H54" s="120">
        <v>0</v>
      </c>
      <c r="I54" s="120">
        <v>21.25</v>
      </c>
      <c r="J54" s="121">
        <v>41416</v>
      </c>
      <c r="K54" s="121">
        <v>41411</v>
      </c>
      <c r="L54" s="122">
        <v>31</v>
      </c>
      <c r="M54" s="119" t="s">
        <v>327</v>
      </c>
      <c r="N54" s="119" t="s">
        <v>218</v>
      </c>
      <c r="O54" s="122">
        <v>10</v>
      </c>
      <c r="R54" s="120">
        <v>21.25</v>
      </c>
      <c r="S54" s="35"/>
      <c r="U54" s="271" t="s">
        <v>325</v>
      </c>
      <c r="V54" s="271" t="s">
        <v>325</v>
      </c>
      <c r="X54" s="120">
        <v>0</v>
      </c>
      <c r="Y54" s="35"/>
    </row>
    <row r="55" spans="1:25" ht="13.5" customHeight="1">
      <c r="A55" s="270">
        <v>3273812135</v>
      </c>
      <c r="B55" s="119" t="s">
        <v>109</v>
      </c>
      <c r="C55" s="119" t="s">
        <v>219</v>
      </c>
      <c r="D55" s="271" t="s">
        <v>325</v>
      </c>
      <c r="E55" s="119" t="s">
        <v>326</v>
      </c>
      <c r="F55" s="119" t="s">
        <v>277</v>
      </c>
      <c r="G55" s="120">
        <v>97.99</v>
      </c>
      <c r="H55" s="120">
        <v>0</v>
      </c>
      <c r="I55" s="120">
        <v>97.99</v>
      </c>
      <c r="J55" s="121">
        <v>41416</v>
      </c>
      <c r="K55" s="121">
        <v>41411</v>
      </c>
      <c r="L55" s="122">
        <v>30</v>
      </c>
      <c r="M55" s="119" t="s">
        <v>327</v>
      </c>
      <c r="N55" s="119" t="s">
        <v>220</v>
      </c>
      <c r="O55" s="122">
        <v>817</v>
      </c>
      <c r="R55" s="120">
        <v>72.11</v>
      </c>
      <c r="S55" s="121">
        <v>41411</v>
      </c>
      <c r="T55" s="122">
        <v>31</v>
      </c>
      <c r="U55" s="119" t="s">
        <v>327</v>
      </c>
      <c r="V55" s="119" t="s">
        <v>221</v>
      </c>
      <c r="W55" s="122">
        <v>3</v>
      </c>
      <c r="X55" s="120">
        <v>25.88</v>
      </c>
      <c r="Y55" s="35"/>
    </row>
    <row r="56" spans="1:25" ht="13.5" customHeight="1">
      <c r="A56" s="270">
        <v>3293820115</v>
      </c>
      <c r="B56" s="119" t="s">
        <v>109</v>
      </c>
      <c r="C56" s="119" t="s">
        <v>222</v>
      </c>
      <c r="D56" s="271" t="s">
        <v>325</v>
      </c>
      <c r="E56" s="271" t="s">
        <v>325</v>
      </c>
      <c r="F56" s="119" t="s">
        <v>335</v>
      </c>
      <c r="G56" s="120">
        <v>23.77</v>
      </c>
      <c r="H56" s="120">
        <v>0</v>
      </c>
      <c r="I56" s="120">
        <v>23.77</v>
      </c>
      <c r="J56" s="121">
        <v>41416</v>
      </c>
      <c r="M56" s="271" t="s">
        <v>325</v>
      </c>
      <c r="N56" s="271" t="s">
        <v>325</v>
      </c>
      <c r="R56" s="120">
        <v>0</v>
      </c>
      <c r="S56" s="121">
        <v>41411</v>
      </c>
      <c r="T56" s="122">
        <v>31</v>
      </c>
      <c r="U56" s="119" t="s">
        <v>327</v>
      </c>
      <c r="V56" s="119" t="s">
        <v>223</v>
      </c>
      <c r="W56" s="122">
        <v>0</v>
      </c>
      <c r="X56" s="120">
        <v>23.77</v>
      </c>
      <c r="Y56" s="35"/>
    </row>
    <row r="57" spans="1:25" ht="13.5" customHeight="1">
      <c r="A57" s="270">
        <v>3448808118</v>
      </c>
      <c r="B57" s="119" t="s">
        <v>109</v>
      </c>
      <c r="C57" s="119" t="s">
        <v>224</v>
      </c>
      <c r="D57" s="271" t="s">
        <v>325</v>
      </c>
      <c r="E57" s="119" t="s">
        <v>326</v>
      </c>
      <c r="F57" s="271" t="s">
        <v>325</v>
      </c>
      <c r="G57" s="120">
        <v>57.28</v>
      </c>
      <c r="H57" s="120">
        <v>0</v>
      </c>
      <c r="I57" s="120">
        <v>57.28</v>
      </c>
      <c r="J57" s="121">
        <v>41408</v>
      </c>
      <c r="K57" s="121">
        <v>41404</v>
      </c>
      <c r="L57" s="122">
        <v>30</v>
      </c>
      <c r="M57" s="119" t="s">
        <v>327</v>
      </c>
      <c r="N57" s="119" t="s">
        <v>225</v>
      </c>
      <c r="O57" s="122">
        <v>579</v>
      </c>
      <c r="R57" s="120">
        <v>57.28</v>
      </c>
      <c r="S57" s="35"/>
      <c r="U57" s="271" t="s">
        <v>325</v>
      </c>
      <c r="V57" s="271" t="s">
        <v>325</v>
      </c>
      <c r="X57" s="120">
        <v>0</v>
      </c>
      <c r="Y57" s="35"/>
    </row>
    <row r="58" spans="1:25" ht="13.5" customHeight="1">
      <c r="A58" s="270">
        <v>3632395006</v>
      </c>
      <c r="B58" s="119" t="s">
        <v>109</v>
      </c>
      <c r="C58" s="119" t="s">
        <v>226</v>
      </c>
      <c r="D58" s="271" t="s">
        <v>325</v>
      </c>
      <c r="E58" s="119" t="s">
        <v>326</v>
      </c>
      <c r="F58" s="271" t="s">
        <v>325</v>
      </c>
      <c r="G58" s="120">
        <v>21.19</v>
      </c>
      <c r="H58" s="120">
        <v>0</v>
      </c>
      <c r="I58" s="120">
        <v>21.19</v>
      </c>
      <c r="J58" s="121">
        <v>41408</v>
      </c>
      <c r="K58" s="121">
        <v>41403</v>
      </c>
      <c r="L58" s="122">
        <v>30</v>
      </c>
      <c r="M58" s="119" t="s">
        <v>327</v>
      </c>
      <c r="N58" s="119" t="s">
        <v>227</v>
      </c>
      <c r="O58" s="122">
        <v>9</v>
      </c>
      <c r="R58" s="120">
        <v>21.19</v>
      </c>
      <c r="S58" s="35"/>
      <c r="U58" s="271" t="s">
        <v>325</v>
      </c>
      <c r="V58" s="271" t="s">
        <v>325</v>
      </c>
      <c r="X58" s="120">
        <v>0</v>
      </c>
      <c r="Y58" s="35"/>
    </row>
    <row r="59" spans="1:25" ht="13.5" customHeight="1">
      <c r="A59" s="270">
        <v>3753663109</v>
      </c>
      <c r="B59" s="119" t="s">
        <v>109</v>
      </c>
      <c r="C59" s="119" t="s">
        <v>228</v>
      </c>
      <c r="D59" s="271" t="s">
        <v>325</v>
      </c>
      <c r="E59" s="119" t="s">
        <v>330</v>
      </c>
      <c r="F59" s="271" t="s">
        <v>325</v>
      </c>
      <c r="G59" s="120">
        <v>201.59</v>
      </c>
      <c r="H59" s="120">
        <v>0</v>
      </c>
      <c r="I59" s="120">
        <v>201.59</v>
      </c>
      <c r="J59" s="121">
        <v>41416</v>
      </c>
      <c r="K59" s="121">
        <v>41416</v>
      </c>
      <c r="L59" s="122">
        <v>33</v>
      </c>
      <c r="M59" s="119" t="s">
        <v>327</v>
      </c>
      <c r="N59" s="271" t="s">
        <v>325</v>
      </c>
      <c r="O59" s="122">
        <v>158</v>
      </c>
      <c r="R59" s="120">
        <v>201.59</v>
      </c>
      <c r="S59" s="35"/>
      <c r="U59" s="271" t="s">
        <v>325</v>
      </c>
      <c r="V59" s="271" t="s">
        <v>325</v>
      </c>
      <c r="X59" s="120">
        <v>0</v>
      </c>
      <c r="Y59" s="35"/>
    </row>
    <row r="60" spans="1:25" ht="13.5" customHeight="1">
      <c r="A60" s="270">
        <v>3798043001</v>
      </c>
      <c r="B60" s="119" t="s">
        <v>109</v>
      </c>
      <c r="C60" s="119" t="s">
        <v>229</v>
      </c>
      <c r="D60" s="271" t="s">
        <v>325</v>
      </c>
      <c r="E60" s="119" t="s">
        <v>255</v>
      </c>
      <c r="F60" s="271" t="s">
        <v>325</v>
      </c>
      <c r="G60" s="120">
        <v>41.65</v>
      </c>
      <c r="H60" s="120">
        <v>19.809999999999999</v>
      </c>
      <c r="I60" s="120">
        <v>21.84</v>
      </c>
      <c r="J60" s="121">
        <v>41386</v>
      </c>
      <c r="K60" s="121">
        <v>41382</v>
      </c>
      <c r="L60" s="122">
        <v>31</v>
      </c>
      <c r="M60" s="119" t="s">
        <v>327</v>
      </c>
      <c r="N60" s="119" t="s">
        <v>230</v>
      </c>
      <c r="O60" s="122">
        <v>9</v>
      </c>
      <c r="R60" s="120">
        <v>21.84</v>
      </c>
      <c r="S60" s="35"/>
      <c r="U60" s="271" t="s">
        <v>325</v>
      </c>
      <c r="V60" s="271" t="s">
        <v>325</v>
      </c>
      <c r="X60" s="120">
        <v>0</v>
      </c>
      <c r="Y60" s="35"/>
    </row>
    <row r="61" spans="1:25" ht="13.5" customHeight="1">
      <c r="A61" s="270">
        <v>3908811104</v>
      </c>
      <c r="B61" s="119" t="s">
        <v>109</v>
      </c>
      <c r="C61" s="119" t="s">
        <v>231</v>
      </c>
      <c r="D61" s="271" t="s">
        <v>325</v>
      </c>
      <c r="E61" s="119" t="s">
        <v>326</v>
      </c>
      <c r="F61" s="271" t="s">
        <v>325</v>
      </c>
      <c r="G61" s="120">
        <v>128.21</v>
      </c>
      <c r="H61" s="120">
        <v>0</v>
      </c>
      <c r="I61" s="120">
        <v>128.21</v>
      </c>
      <c r="J61" s="121">
        <v>41408</v>
      </c>
      <c r="K61" s="121">
        <v>41408</v>
      </c>
      <c r="L61" s="122">
        <v>35</v>
      </c>
      <c r="M61" s="119" t="s">
        <v>327</v>
      </c>
      <c r="N61" s="119" t="s">
        <v>232</v>
      </c>
      <c r="O61" s="122">
        <v>1701</v>
      </c>
      <c r="R61" s="120">
        <v>128.21</v>
      </c>
      <c r="S61" s="35"/>
      <c r="U61" s="271" t="s">
        <v>325</v>
      </c>
      <c r="V61" s="271" t="s">
        <v>325</v>
      </c>
      <c r="X61" s="120">
        <v>0</v>
      </c>
      <c r="Y61" s="35"/>
    </row>
    <row r="62" spans="1:25" ht="13.5" customHeight="1">
      <c r="A62" s="270">
        <v>4153807100</v>
      </c>
      <c r="B62" s="119" t="s">
        <v>109</v>
      </c>
      <c r="C62" s="119" t="s">
        <v>233</v>
      </c>
      <c r="D62" s="271" t="s">
        <v>325</v>
      </c>
      <c r="E62" s="119" t="s">
        <v>326</v>
      </c>
      <c r="F62" s="119" t="s">
        <v>277</v>
      </c>
      <c r="G62" s="120">
        <v>146.83000000000001</v>
      </c>
      <c r="H62" s="120">
        <v>0</v>
      </c>
      <c r="I62" s="120">
        <v>146.83000000000001</v>
      </c>
      <c r="J62" s="121">
        <v>41416</v>
      </c>
      <c r="K62" s="121">
        <v>41411</v>
      </c>
      <c r="L62" s="122">
        <v>31</v>
      </c>
      <c r="M62" s="119" t="s">
        <v>327</v>
      </c>
      <c r="N62" s="119" t="s">
        <v>234</v>
      </c>
      <c r="O62" s="122">
        <v>176</v>
      </c>
      <c r="R62" s="120">
        <v>31.72</v>
      </c>
      <c r="S62" s="121">
        <v>41411</v>
      </c>
      <c r="T62" s="122">
        <v>31</v>
      </c>
      <c r="U62" s="119" t="s">
        <v>327</v>
      </c>
      <c r="V62" s="119" t="s">
        <v>235</v>
      </c>
      <c r="W62" s="122">
        <v>105</v>
      </c>
      <c r="X62" s="120">
        <v>115.11</v>
      </c>
      <c r="Y62" s="35"/>
    </row>
    <row r="63" spans="1:25" ht="13.5" customHeight="1">
      <c r="A63" s="270">
        <v>4153820112</v>
      </c>
      <c r="B63" s="119" t="s">
        <v>109</v>
      </c>
      <c r="C63" s="119" t="s">
        <v>147</v>
      </c>
      <c r="D63" s="271" t="s">
        <v>325</v>
      </c>
      <c r="E63" s="119" t="s">
        <v>332</v>
      </c>
      <c r="F63" s="271" t="s">
        <v>325</v>
      </c>
      <c r="G63" s="120">
        <v>296.27999999999997</v>
      </c>
      <c r="H63" s="120">
        <v>0</v>
      </c>
      <c r="I63" s="120">
        <v>296.27999999999997</v>
      </c>
      <c r="J63" s="121">
        <v>41416</v>
      </c>
      <c r="K63" s="121">
        <v>41411</v>
      </c>
      <c r="L63" s="122">
        <v>30</v>
      </c>
      <c r="M63" s="119" t="s">
        <v>327</v>
      </c>
      <c r="N63" s="119" t="s">
        <v>148</v>
      </c>
      <c r="O63" s="122">
        <v>4707</v>
      </c>
      <c r="P63" s="122">
        <v>18.8</v>
      </c>
      <c r="Q63" s="272">
        <v>0.34773936170212766</v>
      </c>
      <c r="R63" s="120">
        <v>296.27999999999997</v>
      </c>
      <c r="S63" s="35"/>
      <c r="U63" s="271" t="s">
        <v>325</v>
      </c>
      <c r="V63" s="271" t="s">
        <v>325</v>
      </c>
      <c r="X63" s="120">
        <v>0</v>
      </c>
      <c r="Y63" s="35"/>
    </row>
    <row r="64" spans="1:25" ht="13.5" customHeight="1">
      <c r="A64" s="270">
        <v>4308810115</v>
      </c>
      <c r="B64" s="119" t="s">
        <v>109</v>
      </c>
      <c r="C64" s="119" t="s">
        <v>149</v>
      </c>
      <c r="D64" s="271" t="s">
        <v>325</v>
      </c>
      <c r="E64" s="119" t="s">
        <v>326</v>
      </c>
      <c r="F64" s="271" t="s">
        <v>325</v>
      </c>
      <c r="G64" s="120">
        <v>79.44</v>
      </c>
      <c r="H64" s="120">
        <v>0</v>
      </c>
      <c r="I64" s="120">
        <v>79.44</v>
      </c>
      <c r="J64" s="121">
        <v>41408</v>
      </c>
      <c r="K64" s="121">
        <v>41403</v>
      </c>
      <c r="L64" s="122">
        <v>29</v>
      </c>
      <c r="M64" s="119" t="s">
        <v>327</v>
      </c>
      <c r="N64" s="119" t="s">
        <v>113</v>
      </c>
      <c r="O64" s="122">
        <v>928</v>
      </c>
      <c r="R64" s="120">
        <v>79.44</v>
      </c>
      <c r="S64" s="35"/>
      <c r="U64" s="271" t="s">
        <v>325</v>
      </c>
      <c r="V64" s="271" t="s">
        <v>325</v>
      </c>
      <c r="X64" s="120">
        <v>0</v>
      </c>
      <c r="Y64" s="35"/>
    </row>
    <row r="65" spans="1:25" ht="13.5" customHeight="1">
      <c r="A65" s="270">
        <v>4399122004</v>
      </c>
      <c r="B65" s="119" t="s">
        <v>109</v>
      </c>
      <c r="C65" s="119" t="s">
        <v>151</v>
      </c>
      <c r="D65" s="271" t="s">
        <v>325</v>
      </c>
      <c r="E65" s="271" t="s">
        <v>325</v>
      </c>
      <c r="F65" s="119" t="s">
        <v>335</v>
      </c>
      <c r="G65" s="120">
        <v>30.3</v>
      </c>
      <c r="H65" s="120">
        <v>0</v>
      </c>
      <c r="I65" s="120">
        <v>30.3</v>
      </c>
      <c r="J65" s="121">
        <v>41416</v>
      </c>
      <c r="M65" s="271" t="s">
        <v>325</v>
      </c>
      <c r="N65" s="271" t="s">
        <v>325</v>
      </c>
      <c r="R65" s="120">
        <v>0</v>
      </c>
      <c r="S65" s="121">
        <v>41411</v>
      </c>
      <c r="T65" s="122">
        <v>31</v>
      </c>
      <c r="U65" s="119" t="s">
        <v>327</v>
      </c>
      <c r="V65" s="119" t="s">
        <v>152</v>
      </c>
      <c r="W65" s="122">
        <v>22</v>
      </c>
      <c r="X65" s="120">
        <v>30.3</v>
      </c>
      <c r="Y65" s="35"/>
    </row>
    <row r="66" spans="1:25" ht="13.5" customHeight="1">
      <c r="A66" s="270">
        <v>4513814101</v>
      </c>
      <c r="B66" s="119" t="s">
        <v>109</v>
      </c>
      <c r="C66" s="119" t="s">
        <v>153</v>
      </c>
      <c r="D66" s="271" t="s">
        <v>325</v>
      </c>
      <c r="E66" s="119" t="s">
        <v>332</v>
      </c>
      <c r="F66" s="119" t="s">
        <v>277</v>
      </c>
      <c r="G66" s="120">
        <v>202.5</v>
      </c>
      <c r="H66" s="120">
        <v>0</v>
      </c>
      <c r="I66" s="120">
        <v>202.5</v>
      </c>
      <c r="J66" s="121">
        <v>41416</v>
      </c>
      <c r="K66" s="121">
        <v>41411</v>
      </c>
      <c r="L66" s="122">
        <v>30</v>
      </c>
      <c r="M66" s="119" t="s">
        <v>327</v>
      </c>
      <c r="N66" s="119" t="s">
        <v>117</v>
      </c>
      <c r="O66" s="122">
        <v>1693</v>
      </c>
      <c r="P66" s="122">
        <v>6</v>
      </c>
      <c r="Q66" s="272">
        <v>0.39189814814814816</v>
      </c>
      <c r="R66" s="120">
        <v>131.99</v>
      </c>
      <c r="S66" s="121">
        <v>41411</v>
      </c>
      <c r="T66" s="122">
        <v>31</v>
      </c>
      <c r="U66" s="119" t="s">
        <v>327</v>
      </c>
      <c r="V66" s="119" t="s">
        <v>155</v>
      </c>
      <c r="W66" s="122">
        <v>54</v>
      </c>
      <c r="X66" s="120">
        <v>70.510000000000005</v>
      </c>
      <c r="Y66" s="35"/>
    </row>
    <row r="67" spans="1:25" ht="13.5" customHeight="1">
      <c r="A67" s="270">
        <v>4533881110</v>
      </c>
      <c r="B67" s="119" t="s">
        <v>109</v>
      </c>
      <c r="C67" s="119" t="s">
        <v>156</v>
      </c>
      <c r="D67" s="119" t="s">
        <v>157</v>
      </c>
      <c r="E67" s="119" t="s">
        <v>158</v>
      </c>
      <c r="F67" s="271" t="s">
        <v>325</v>
      </c>
      <c r="G67" s="120">
        <v>28.36</v>
      </c>
      <c r="H67" s="120">
        <v>0</v>
      </c>
      <c r="I67" s="120">
        <v>28.36</v>
      </c>
      <c r="J67" s="121">
        <v>41416</v>
      </c>
      <c r="K67" s="121">
        <v>41416</v>
      </c>
      <c r="L67" s="122">
        <v>33</v>
      </c>
      <c r="M67" s="119" t="s">
        <v>327</v>
      </c>
      <c r="N67" s="271" t="s">
        <v>325</v>
      </c>
      <c r="O67" s="122">
        <v>180</v>
      </c>
      <c r="R67" s="120">
        <v>28.36</v>
      </c>
      <c r="S67" s="35"/>
      <c r="U67" s="271" t="s">
        <v>325</v>
      </c>
      <c r="V67" s="271" t="s">
        <v>325</v>
      </c>
      <c r="X67" s="120">
        <v>0</v>
      </c>
      <c r="Y67" s="35"/>
    </row>
    <row r="68" spans="1:25" ht="13.5" customHeight="1">
      <c r="A68" s="270">
        <v>4568811105</v>
      </c>
      <c r="B68" s="119" t="s">
        <v>109</v>
      </c>
      <c r="C68" s="119" t="s">
        <v>159</v>
      </c>
      <c r="D68" s="271" t="s">
        <v>325</v>
      </c>
      <c r="E68" s="119" t="s">
        <v>326</v>
      </c>
      <c r="F68" s="271" t="s">
        <v>325</v>
      </c>
      <c r="G68" s="120">
        <v>77.34</v>
      </c>
      <c r="H68" s="120">
        <v>0</v>
      </c>
      <c r="I68" s="120">
        <v>77.34</v>
      </c>
      <c r="J68" s="121">
        <v>41408</v>
      </c>
      <c r="K68" s="121">
        <v>41403</v>
      </c>
      <c r="L68" s="122">
        <v>30</v>
      </c>
      <c r="M68" s="119" t="s">
        <v>327</v>
      </c>
      <c r="N68" s="119" t="s">
        <v>160</v>
      </c>
      <c r="O68" s="122">
        <v>895</v>
      </c>
      <c r="R68" s="120">
        <v>77.34</v>
      </c>
      <c r="S68" s="35"/>
      <c r="U68" s="271" t="s">
        <v>325</v>
      </c>
      <c r="V68" s="271" t="s">
        <v>325</v>
      </c>
      <c r="X68" s="120">
        <v>0</v>
      </c>
      <c r="Y68" s="35"/>
    </row>
    <row r="69" spans="1:25" ht="13.5" customHeight="1">
      <c r="A69" s="270">
        <v>4588811101</v>
      </c>
      <c r="B69" s="119" t="s">
        <v>109</v>
      </c>
      <c r="C69" s="119" t="s">
        <v>159</v>
      </c>
      <c r="D69" s="271" t="s">
        <v>325</v>
      </c>
      <c r="E69" s="119" t="s">
        <v>326</v>
      </c>
      <c r="F69" s="271" t="s">
        <v>325</v>
      </c>
      <c r="G69" s="120">
        <v>20.62</v>
      </c>
      <c r="H69" s="120">
        <v>0</v>
      </c>
      <c r="I69" s="120">
        <v>20.62</v>
      </c>
      <c r="J69" s="121">
        <v>41408</v>
      </c>
      <c r="K69" s="121">
        <v>41404</v>
      </c>
      <c r="L69" s="122">
        <v>30</v>
      </c>
      <c r="M69" s="119" t="s">
        <v>327</v>
      </c>
      <c r="N69" s="119" t="s">
        <v>161</v>
      </c>
      <c r="O69" s="122">
        <v>0</v>
      </c>
      <c r="R69" s="120">
        <v>20.62</v>
      </c>
      <c r="S69" s="35"/>
      <c r="U69" s="271" t="s">
        <v>325</v>
      </c>
      <c r="V69" s="271" t="s">
        <v>325</v>
      </c>
      <c r="X69" s="120">
        <v>0</v>
      </c>
      <c r="Y69" s="35"/>
    </row>
    <row r="70" spans="1:25" ht="13.5" customHeight="1">
      <c r="A70" s="270">
        <v>4794009102</v>
      </c>
      <c r="B70" s="119" t="s">
        <v>109</v>
      </c>
      <c r="C70" s="119" t="s">
        <v>162</v>
      </c>
      <c r="D70" s="271" t="s">
        <v>325</v>
      </c>
      <c r="E70" s="119" t="s">
        <v>255</v>
      </c>
      <c r="F70" s="119" t="s">
        <v>163</v>
      </c>
      <c r="G70" s="120">
        <v>589.49</v>
      </c>
      <c r="H70" s="120">
        <v>289.42</v>
      </c>
      <c r="I70" s="120">
        <v>300.07</v>
      </c>
      <c r="J70" s="121">
        <v>41386</v>
      </c>
      <c r="K70" s="121">
        <v>41381</v>
      </c>
      <c r="L70" s="122">
        <v>30</v>
      </c>
      <c r="M70" s="119" t="s">
        <v>327</v>
      </c>
      <c r="N70" s="119" t="s">
        <v>164</v>
      </c>
      <c r="O70" s="122">
        <v>1856</v>
      </c>
      <c r="R70" s="120">
        <v>273.38</v>
      </c>
      <c r="S70" s="121">
        <v>41382</v>
      </c>
      <c r="T70" s="122">
        <v>31</v>
      </c>
      <c r="U70" s="119" t="s">
        <v>327</v>
      </c>
      <c r="V70" s="119" t="s">
        <v>165</v>
      </c>
      <c r="W70" s="122">
        <v>4</v>
      </c>
      <c r="X70" s="120">
        <v>26.69</v>
      </c>
      <c r="Y70" s="35"/>
    </row>
    <row r="71" spans="1:25" ht="13.5" customHeight="1">
      <c r="A71" s="270">
        <v>5048811100</v>
      </c>
      <c r="B71" s="119" t="s">
        <v>109</v>
      </c>
      <c r="C71" s="119" t="s">
        <v>166</v>
      </c>
      <c r="D71" s="271" t="s">
        <v>325</v>
      </c>
      <c r="E71" s="119" t="s">
        <v>326</v>
      </c>
      <c r="F71" s="271" t="s">
        <v>325</v>
      </c>
      <c r="G71" s="120">
        <v>34.630000000000003</v>
      </c>
      <c r="H71" s="120">
        <v>0</v>
      </c>
      <c r="I71" s="120">
        <v>34.630000000000003</v>
      </c>
      <c r="J71" s="121">
        <v>41408</v>
      </c>
      <c r="K71" s="121">
        <v>41403</v>
      </c>
      <c r="L71" s="122">
        <v>30</v>
      </c>
      <c r="M71" s="119" t="s">
        <v>327</v>
      </c>
      <c r="N71" s="119" t="s">
        <v>167</v>
      </c>
      <c r="O71" s="122">
        <v>221</v>
      </c>
      <c r="R71" s="120">
        <v>34.630000000000003</v>
      </c>
      <c r="S71" s="35"/>
      <c r="U71" s="271" t="s">
        <v>325</v>
      </c>
      <c r="V71" s="271" t="s">
        <v>325</v>
      </c>
      <c r="X71" s="120">
        <v>0</v>
      </c>
      <c r="Y71" s="35"/>
    </row>
    <row r="72" spans="1:25" ht="13.5" customHeight="1">
      <c r="A72" s="270">
        <v>5293880104</v>
      </c>
      <c r="B72" s="119" t="s">
        <v>109</v>
      </c>
      <c r="C72" s="119" t="s">
        <v>168</v>
      </c>
      <c r="D72" s="271" t="s">
        <v>325</v>
      </c>
      <c r="E72" s="119" t="s">
        <v>330</v>
      </c>
      <c r="F72" s="271" t="s">
        <v>325</v>
      </c>
      <c r="G72" s="120">
        <v>9700.81</v>
      </c>
      <c r="H72" s="120">
        <v>0</v>
      </c>
      <c r="I72" s="120">
        <v>9700.81</v>
      </c>
      <c r="J72" s="121">
        <v>41416</v>
      </c>
      <c r="K72" s="121">
        <v>41416</v>
      </c>
      <c r="L72" s="122">
        <v>33</v>
      </c>
      <c r="M72" s="119" t="s">
        <v>327</v>
      </c>
      <c r="N72" s="271" t="s">
        <v>325</v>
      </c>
      <c r="O72" s="122">
        <v>28955</v>
      </c>
      <c r="R72" s="120">
        <v>9700.81</v>
      </c>
      <c r="S72" s="35"/>
      <c r="U72" s="271" t="s">
        <v>325</v>
      </c>
      <c r="V72" s="271" t="s">
        <v>325</v>
      </c>
      <c r="X72" s="120">
        <v>0</v>
      </c>
      <c r="Y72" s="35"/>
    </row>
    <row r="73" spans="1:25" ht="13.5" customHeight="1">
      <c r="A73" s="270">
        <v>5333812119</v>
      </c>
      <c r="B73" s="119" t="s">
        <v>109</v>
      </c>
      <c r="C73" s="119" t="s">
        <v>169</v>
      </c>
      <c r="D73" s="271" t="s">
        <v>325</v>
      </c>
      <c r="E73" s="119" t="s">
        <v>326</v>
      </c>
      <c r="F73" s="271" t="s">
        <v>325</v>
      </c>
      <c r="G73" s="120">
        <v>40.159999999999997</v>
      </c>
      <c r="H73" s="120">
        <v>0</v>
      </c>
      <c r="I73" s="120">
        <v>40.159999999999997</v>
      </c>
      <c r="J73" s="121">
        <v>41416</v>
      </c>
      <c r="K73" s="121">
        <v>41411</v>
      </c>
      <c r="L73" s="122">
        <v>31</v>
      </c>
      <c r="M73" s="119" t="s">
        <v>327</v>
      </c>
      <c r="N73" s="119" t="s">
        <v>170</v>
      </c>
      <c r="O73" s="122">
        <v>310</v>
      </c>
      <c r="R73" s="120">
        <v>40.159999999999997</v>
      </c>
      <c r="S73" s="35"/>
      <c r="U73" s="271" t="s">
        <v>325</v>
      </c>
      <c r="V73" s="271" t="s">
        <v>325</v>
      </c>
      <c r="X73" s="120">
        <v>0</v>
      </c>
      <c r="Y73" s="35"/>
    </row>
    <row r="74" spans="1:25" ht="13.5" customHeight="1">
      <c r="A74" s="270">
        <v>5513812108</v>
      </c>
      <c r="B74" s="119" t="s">
        <v>109</v>
      </c>
      <c r="C74" s="119" t="s">
        <v>337</v>
      </c>
      <c r="D74" s="271" t="s">
        <v>325</v>
      </c>
      <c r="E74" s="119" t="s">
        <v>332</v>
      </c>
      <c r="F74" s="271" t="s">
        <v>325</v>
      </c>
      <c r="G74" s="120">
        <v>169.17</v>
      </c>
      <c r="H74" s="120">
        <v>0</v>
      </c>
      <c r="I74" s="120">
        <v>169.17</v>
      </c>
      <c r="J74" s="121">
        <v>41416</v>
      </c>
      <c r="K74" s="121">
        <v>41411</v>
      </c>
      <c r="L74" s="122">
        <v>31</v>
      </c>
      <c r="M74" s="119" t="s">
        <v>327</v>
      </c>
      <c r="N74" s="119" t="s">
        <v>114</v>
      </c>
      <c r="O74" s="122">
        <v>1344</v>
      </c>
      <c r="P74" s="122">
        <v>9.9</v>
      </c>
      <c r="Q74" s="272">
        <v>0.18246985988921474</v>
      </c>
      <c r="R74" s="120">
        <v>169.17</v>
      </c>
      <c r="S74" s="35"/>
      <c r="U74" s="271" t="s">
        <v>325</v>
      </c>
      <c r="V74" s="271" t="s">
        <v>325</v>
      </c>
      <c r="X74" s="120">
        <v>0</v>
      </c>
      <c r="Y74" s="35"/>
    </row>
    <row r="75" spans="1:25" ht="13.5" customHeight="1">
      <c r="A75" s="270">
        <v>5613808124</v>
      </c>
      <c r="B75" s="119" t="s">
        <v>109</v>
      </c>
      <c r="C75" s="119" t="s">
        <v>172</v>
      </c>
      <c r="D75" s="271" t="s">
        <v>325</v>
      </c>
      <c r="E75" s="119" t="s">
        <v>255</v>
      </c>
      <c r="F75" s="271" t="s">
        <v>325</v>
      </c>
      <c r="G75" s="120">
        <v>157.76</v>
      </c>
      <c r="H75" s="120">
        <v>0</v>
      </c>
      <c r="I75" s="120">
        <v>157.76</v>
      </c>
      <c r="J75" s="121">
        <v>41416</v>
      </c>
      <c r="K75" s="121">
        <v>41414</v>
      </c>
      <c r="L75" s="122">
        <v>32</v>
      </c>
      <c r="M75" s="119" t="s">
        <v>327</v>
      </c>
      <c r="N75" s="119" t="s">
        <v>173</v>
      </c>
      <c r="O75" s="122">
        <v>958</v>
      </c>
      <c r="R75" s="120">
        <v>157.76</v>
      </c>
      <c r="S75" s="35"/>
      <c r="U75" s="271" t="s">
        <v>325</v>
      </c>
      <c r="V75" s="271" t="s">
        <v>325</v>
      </c>
      <c r="X75" s="120">
        <v>0</v>
      </c>
      <c r="Y75" s="35"/>
    </row>
    <row r="76" spans="1:25" ht="13.5" customHeight="1">
      <c r="A76" s="270">
        <v>5668811108</v>
      </c>
      <c r="B76" s="119" t="s">
        <v>109</v>
      </c>
      <c r="C76" s="119" t="s">
        <v>159</v>
      </c>
      <c r="D76" s="271" t="s">
        <v>325</v>
      </c>
      <c r="E76" s="119" t="s">
        <v>255</v>
      </c>
      <c r="F76" s="271" t="s">
        <v>325</v>
      </c>
      <c r="G76" s="120">
        <v>36.26</v>
      </c>
      <c r="H76" s="120">
        <v>0</v>
      </c>
      <c r="I76" s="120">
        <v>36.26</v>
      </c>
      <c r="J76" s="121">
        <v>41408</v>
      </c>
      <c r="K76" s="121">
        <v>41403</v>
      </c>
      <c r="L76" s="122">
        <v>30</v>
      </c>
      <c r="M76" s="119" t="s">
        <v>327</v>
      </c>
      <c r="N76" s="119" t="s">
        <v>174</v>
      </c>
      <c r="O76" s="122">
        <v>109</v>
      </c>
      <c r="R76" s="120">
        <v>36.26</v>
      </c>
      <c r="S76" s="35"/>
      <c r="U76" s="271" t="s">
        <v>325</v>
      </c>
      <c r="V76" s="271" t="s">
        <v>325</v>
      </c>
      <c r="X76" s="120">
        <v>0</v>
      </c>
      <c r="Y76" s="35"/>
    </row>
    <row r="77" spans="1:25" ht="13.5" customHeight="1">
      <c r="A77" s="270">
        <v>5748811104</v>
      </c>
      <c r="B77" s="119" t="s">
        <v>109</v>
      </c>
      <c r="C77" s="119" t="s">
        <v>175</v>
      </c>
      <c r="D77" s="271" t="s">
        <v>325</v>
      </c>
      <c r="E77" s="119" t="s">
        <v>326</v>
      </c>
      <c r="F77" s="271" t="s">
        <v>325</v>
      </c>
      <c r="G77" s="120">
        <v>21.19</v>
      </c>
      <c r="H77" s="120">
        <v>0</v>
      </c>
      <c r="I77" s="120">
        <v>21.19</v>
      </c>
      <c r="J77" s="121">
        <v>41408</v>
      </c>
      <c r="K77" s="121">
        <v>41403</v>
      </c>
      <c r="L77" s="122">
        <v>30</v>
      </c>
      <c r="M77" s="119" t="s">
        <v>327</v>
      </c>
      <c r="N77" s="119" t="s">
        <v>176</v>
      </c>
      <c r="O77" s="122">
        <v>9</v>
      </c>
      <c r="R77" s="120">
        <v>21.19</v>
      </c>
      <c r="S77" s="35"/>
      <c r="U77" s="271" t="s">
        <v>325</v>
      </c>
      <c r="V77" s="271" t="s">
        <v>325</v>
      </c>
      <c r="X77" s="120">
        <v>0</v>
      </c>
      <c r="Y77" s="35"/>
    </row>
    <row r="78" spans="1:25" ht="13.5" customHeight="1">
      <c r="A78" s="270">
        <v>5828811100</v>
      </c>
      <c r="B78" s="119" t="s">
        <v>109</v>
      </c>
      <c r="C78" s="119" t="s">
        <v>175</v>
      </c>
      <c r="D78" s="271" t="s">
        <v>325</v>
      </c>
      <c r="E78" s="119" t="s">
        <v>326</v>
      </c>
      <c r="F78" s="271" t="s">
        <v>325</v>
      </c>
      <c r="G78" s="120">
        <v>20.99</v>
      </c>
      <c r="H78" s="120">
        <v>0</v>
      </c>
      <c r="I78" s="120">
        <v>20.99</v>
      </c>
      <c r="J78" s="121">
        <v>41408</v>
      </c>
      <c r="K78" s="121">
        <v>41403</v>
      </c>
      <c r="L78" s="122">
        <v>30</v>
      </c>
      <c r="M78" s="119" t="s">
        <v>327</v>
      </c>
      <c r="N78" s="119" t="s">
        <v>177</v>
      </c>
      <c r="O78" s="122">
        <v>6</v>
      </c>
      <c r="R78" s="120">
        <v>20.99</v>
      </c>
      <c r="S78" s="35"/>
      <c r="U78" s="271" t="s">
        <v>325</v>
      </c>
      <c r="V78" s="271" t="s">
        <v>325</v>
      </c>
      <c r="X78" s="120">
        <v>0</v>
      </c>
      <c r="Y78" s="35"/>
    </row>
    <row r="79" spans="1:25" ht="13.5" customHeight="1">
      <c r="A79" s="270">
        <v>5913814119</v>
      </c>
      <c r="B79" s="119" t="s">
        <v>109</v>
      </c>
      <c r="C79" s="119" t="s">
        <v>178</v>
      </c>
      <c r="D79" s="271" t="s">
        <v>325</v>
      </c>
      <c r="E79" s="119" t="s">
        <v>332</v>
      </c>
      <c r="F79" s="271" t="s">
        <v>325</v>
      </c>
      <c r="G79" s="120">
        <v>160.02000000000001</v>
      </c>
      <c r="H79" s="120">
        <v>0</v>
      </c>
      <c r="I79" s="120">
        <v>160.02000000000001</v>
      </c>
      <c r="J79" s="121">
        <v>41416</v>
      </c>
      <c r="K79" s="121">
        <v>41411</v>
      </c>
      <c r="L79" s="122">
        <v>30</v>
      </c>
      <c r="M79" s="119" t="s">
        <v>327</v>
      </c>
      <c r="N79" s="119" t="s">
        <v>118</v>
      </c>
      <c r="O79" s="122">
        <v>2499</v>
      </c>
      <c r="P79" s="122">
        <v>7.9</v>
      </c>
      <c r="Q79" s="272">
        <v>0.43934599156118143</v>
      </c>
      <c r="R79" s="120">
        <v>160.02000000000001</v>
      </c>
      <c r="S79" s="35"/>
      <c r="U79" s="271" t="s">
        <v>325</v>
      </c>
      <c r="V79" s="271" t="s">
        <v>325</v>
      </c>
      <c r="X79" s="120">
        <v>0</v>
      </c>
      <c r="Y79" s="35"/>
    </row>
    <row r="80" spans="1:25" ht="13.5" customHeight="1">
      <c r="A80" s="270">
        <v>5933814115</v>
      </c>
      <c r="B80" s="119" t="s">
        <v>109</v>
      </c>
      <c r="C80" s="119" t="s">
        <v>180</v>
      </c>
      <c r="D80" s="271" t="s">
        <v>325</v>
      </c>
      <c r="E80" s="119" t="s">
        <v>332</v>
      </c>
      <c r="F80" s="271" t="s">
        <v>325</v>
      </c>
      <c r="G80" s="120">
        <v>220.66</v>
      </c>
      <c r="H80" s="120">
        <v>0</v>
      </c>
      <c r="I80" s="120">
        <v>220.66</v>
      </c>
      <c r="J80" s="121">
        <v>41416</v>
      </c>
      <c r="K80" s="121">
        <v>41411</v>
      </c>
      <c r="L80" s="122">
        <v>31</v>
      </c>
      <c r="M80" s="119" t="s">
        <v>327</v>
      </c>
      <c r="N80" s="119" t="s">
        <v>181</v>
      </c>
      <c r="O80" s="122">
        <v>3228</v>
      </c>
      <c r="P80" s="122">
        <v>13</v>
      </c>
      <c r="Q80" s="272">
        <v>0.33374689826302734</v>
      </c>
      <c r="R80" s="120">
        <v>220.66</v>
      </c>
      <c r="S80" s="35"/>
      <c r="U80" s="271" t="s">
        <v>325</v>
      </c>
      <c r="V80" s="271" t="s">
        <v>325</v>
      </c>
      <c r="X80" s="120">
        <v>0</v>
      </c>
      <c r="Y80" s="35"/>
    </row>
    <row r="81" spans="1:25" ht="13.5" customHeight="1">
      <c r="A81" s="270">
        <v>6053820112</v>
      </c>
      <c r="B81" s="119" t="s">
        <v>109</v>
      </c>
      <c r="C81" s="119" t="s">
        <v>182</v>
      </c>
      <c r="D81" s="271" t="s">
        <v>325</v>
      </c>
      <c r="E81" s="119" t="s">
        <v>326</v>
      </c>
      <c r="F81" s="271" t="s">
        <v>325</v>
      </c>
      <c r="G81" s="120">
        <v>22.46</v>
      </c>
      <c r="H81" s="120">
        <v>0</v>
      </c>
      <c r="I81" s="120">
        <v>22.46</v>
      </c>
      <c r="J81" s="121">
        <v>41416</v>
      </c>
      <c r="K81" s="121">
        <v>41411</v>
      </c>
      <c r="L81" s="122">
        <v>31</v>
      </c>
      <c r="M81" s="119" t="s">
        <v>327</v>
      </c>
      <c r="N81" s="119" t="s">
        <v>183</v>
      </c>
      <c r="O81" s="122">
        <v>29</v>
      </c>
      <c r="R81" s="120">
        <v>22.46</v>
      </c>
      <c r="S81" s="35"/>
      <c r="U81" s="271" t="s">
        <v>325</v>
      </c>
      <c r="V81" s="271" t="s">
        <v>325</v>
      </c>
      <c r="X81" s="120">
        <v>0</v>
      </c>
      <c r="Y81" s="35"/>
    </row>
    <row r="82" spans="1:25" ht="13.5" customHeight="1">
      <c r="A82" s="270">
        <v>6173817104</v>
      </c>
      <c r="B82" s="119" t="s">
        <v>109</v>
      </c>
      <c r="C82" s="119" t="s">
        <v>184</v>
      </c>
      <c r="D82" s="271" t="s">
        <v>325</v>
      </c>
      <c r="E82" s="119" t="s">
        <v>326</v>
      </c>
      <c r="F82" s="271" t="s">
        <v>325</v>
      </c>
      <c r="G82" s="120">
        <v>39.090000000000003</v>
      </c>
      <c r="H82" s="120">
        <v>0</v>
      </c>
      <c r="I82" s="120">
        <v>39.090000000000003</v>
      </c>
      <c r="J82" s="121">
        <v>41416</v>
      </c>
      <c r="K82" s="121">
        <v>41411</v>
      </c>
      <c r="L82" s="122">
        <v>31</v>
      </c>
      <c r="M82" s="119" t="s">
        <v>327</v>
      </c>
      <c r="N82" s="119" t="s">
        <v>185</v>
      </c>
      <c r="O82" s="122">
        <v>293</v>
      </c>
      <c r="R82" s="120">
        <v>39.090000000000003</v>
      </c>
      <c r="S82" s="35"/>
      <c r="U82" s="271" t="s">
        <v>325</v>
      </c>
      <c r="V82" s="271" t="s">
        <v>325</v>
      </c>
      <c r="X82" s="120">
        <v>0</v>
      </c>
      <c r="Y82" s="35"/>
    </row>
    <row r="83" spans="1:25" ht="13.5" customHeight="1">
      <c r="A83" s="270">
        <v>6368810106</v>
      </c>
      <c r="B83" s="119" t="s">
        <v>109</v>
      </c>
      <c r="C83" s="119" t="s">
        <v>186</v>
      </c>
      <c r="D83" s="271" t="s">
        <v>325</v>
      </c>
      <c r="E83" s="119" t="s">
        <v>326</v>
      </c>
      <c r="F83" s="271" t="s">
        <v>325</v>
      </c>
      <c r="G83" s="120">
        <v>97.87</v>
      </c>
      <c r="H83" s="120">
        <v>0</v>
      </c>
      <c r="I83" s="120">
        <v>97.87</v>
      </c>
      <c r="J83" s="121">
        <v>41408</v>
      </c>
      <c r="K83" s="121">
        <v>41403</v>
      </c>
      <c r="L83" s="122">
        <v>30</v>
      </c>
      <c r="M83" s="119" t="s">
        <v>327</v>
      </c>
      <c r="N83" s="119" t="s">
        <v>187</v>
      </c>
      <c r="O83" s="122">
        <v>1219</v>
      </c>
      <c r="R83" s="120">
        <v>97.87</v>
      </c>
      <c r="S83" s="35"/>
      <c r="U83" s="271" t="s">
        <v>325</v>
      </c>
      <c r="V83" s="271" t="s">
        <v>325</v>
      </c>
      <c r="X83" s="120">
        <v>0</v>
      </c>
      <c r="Y83" s="35"/>
    </row>
    <row r="84" spans="1:25" ht="13.5" customHeight="1">
      <c r="A84" s="270">
        <v>6853819124</v>
      </c>
      <c r="B84" s="119" t="s">
        <v>109</v>
      </c>
      <c r="C84" s="119" t="s">
        <v>188</v>
      </c>
      <c r="D84" s="271" t="s">
        <v>325</v>
      </c>
      <c r="E84" s="119" t="s">
        <v>255</v>
      </c>
      <c r="F84" s="271" t="s">
        <v>325</v>
      </c>
      <c r="G84" s="120">
        <v>82.5</v>
      </c>
      <c r="H84" s="120">
        <v>0</v>
      </c>
      <c r="I84" s="120">
        <v>82.5</v>
      </c>
      <c r="J84" s="121">
        <v>41416</v>
      </c>
      <c r="K84" s="121">
        <v>41411</v>
      </c>
      <c r="L84" s="122">
        <v>31</v>
      </c>
      <c r="M84" s="119" t="s">
        <v>327</v>
      </c>
      <c r="N84" s="119" t="s">
        <v>189</v>
      </c>
      <c r="O84" s="122">
        <v>432</v>
      </c>
      <c r="R84" s="120">
        <v>82.5</v>
      </c>
      <c r="S84" s="35"/>
      <c r="U84" s="271" t="s">
        <v>325</v>
      </c>
      <c r="V84" s="271" t="s">
        <v>325</v>
      </c>
      <c r="X84" s="120">
        <v>0</v>
      </c>
      <c r="Y84" s="35"/>
    </row>
    <row r="85" spans="1:25" ht="13.5" customHeight="1">
      <c r="A85" s="270">
        <v>6857311003</v>
      </c>
      <c r="B85" s="119" t="s">
        <v>109</v>
      </c>
      <c r="C85" s="119" t="s">
        <v>190</v>
      </c>
      <c r="D85" s="271" t="s">
        <v>325</v>
      </c>
      <c r="E85" s="119" t="s">
        <v>255</v>
      </c>
      <c r="F85" s="271" t="s">
        <v>325</v>
      </c>
      <c r="G85" s="120">
        <v>21.62</v>
      </c>
      <c r="H85" s="120">
        <v>0</v>
      </c>
      <c r="I85" s="120">
        <v>21.62</v>
      </c>
      <c r="J85" s="121">
        <v>41416</v>
      </c>
      <c r="K85" s="121">
        <v>41411</v>
      </c>
      <c r="L85" s="122">
        <v>31</v>
      </c>
      <c r="M85" s="119" t="s">
        <v>327</v>
      </c>
      <c r="N85" s="119" t="s">
        <v>191</v>
      </c>
      <c r="O85" s="122">
        <v>4</v>
      </c>
      <c r="R85" s="120">
        <v>21.62</v>
      </c>
      <c r="S85" s="35"/>
      <c r="U85" s="271" t="s">
        <v>325</v>
      </c>
      <c r="V85" s="271" t="s">
        <v>325</v>
      </c>
      <c r="X85" s="120">
        <v>0</v>
      </c>
      <c r="Y85" s="35"/>
    </row>
    <row r="86" spans="1:25" ht="13.5" customHeight="1">
      <c r="A86" s="270">
        <v>7312015014</v>
      </c>
      <c r="B86" s="119" t="s">
        <v>109</v>
      </c>
      <c r="C86" s="119" t="s">
        <v>192</v>
      </c>
      <c r="D86" s="271" t="s">
        <v>325</v>
      </c>
      <c r="E86" s="119" t="s">
        <v>326</v>
      </c>
      <c r="F86" s="271" t="s">
        <v>325</v>
      </c>
      <c r="G86" s="120">
        <v>25.94</v>
      </c>
      <c r="H86" s="120">
        <v>0</v>
      </c>
      <c r="I86" s="120">
        <v>25.94</v>
      </c>
      <c r="J86" s="121">
        <v>41408</v>
      </c>
      <c r="K86" s="121">
        <v>41403</v>
      </c>
      <c r="L86" s="122">
        <v>30</v>
      </c>
      <c r="M86" s="119" t="s">
        <v>327</v>
      </c>
      <c r="N86" s="119" t="s">
        <v>193</v>
      </c>
      <c r="O86" s="122">
        <v>84</v>
      </c>
      <c r="R86" s="120">
        <v>25.94</v>
      </c>
      <c r="S86" s="35"/>
      <c r="U86" s="271" t="s">
        <v>325</v>
      </c>
      <c r="V86" s="271" t="s">
        <v>325</v>
      </c>
      <c r="X86" s="120">
        <v>0</v>
      </c>
      <c r="Y86" s="35"/>
    </row>
    <row r="87" spans="1:25" ht="13.5" customHeight="1">
      <c r="A87" s="270">
        <v>8193819106</v>
      </c>
      <c r="B87" s="119" t="s">
        <v>109</v>
      </c>
      <c r="C87" s="119" t="s">
        <v>205</v>
      </c>
      <c r="D87" s="271" t="s">
        <v>325</v>
      </c>
      <c r="E87" s="271" t="s">
        <v>325</v>
      </c>
      <c r="F87" s="119" t="s">
        <v>335</v>
      </c>
      <c r="G87" s="120">
        <v>132.13999999999999</v>
      </c>
      <c r="H87" s="120">
        <v>0</v>
      </c>
      <c r="I87" s="120">
        <v>132.13999999999999</v>
      </c>
      <c r="J87" s="121">
        <v>41416</v>
      </c>
      <c r="M87" s="271" t="s">
        <v>325</v>
      </c>
      <c r="N87" s="271" t="s">
        <v>325</v>
      </c>
      <c r="R87" s="120">
        <v>0</v>
      </c>
      <c r="S87" s="121">
        <v>41411</v>
      </c>
      <c r="T87" s="122">
        <v>31</v>
      </c>
      <c r="U87" s="119" t="s">
        <v>327</v>
      </c>
      <c r="V87" s="119" t="s">
        <v>88</v>
      </c>
      <c r="W87" s="122">
        <v>361</v>
      </c>
      <c r="X87" s="120">
        <v>132.13999999999999</v>
      </c>
      <c r="Y87" s="35"/>
    </row>
    <row r="88" spans="1:25" ht="13.5" customHeight="1">
      <c r="A88" s="270">
        <v>8714009102</v>
      </c>
      <c r="B88" s="119" t="s">
        <v>109</v>
      </c>
      <c r="C88" s="119" t="s">
        <v>89</v>
      </c>
      <c r="D88" s="271" t="s">
        <v>325</v>
      </c>
      <c r="E88" s="119" t="s">
        <v>326</v>
      </c>
      <c r="F88" s="119" t="s">
        <v>163</v>
      </c>
      <c r="G88" s="120">
        <v>192.11</v>
      </c>
      <c r="H88" s="120">
        <v>94.93</v>
      </c>
      <c r="I88" s="120">
        <v>97.18</v>
      </c>
      <c r="J88" s="121">
        <v>41386</v>
      </c>
      <c r="K88" s="121">
        <v>41381</v>
      </c>
      <c r="L88" s="122">
        <v>30</v>
      </c>
      <c r="M88" s="119" t="s">
        <v>327</v>
      </c>
      <c r="N88" s="119" t="s">
        <v>90</v>
      </c>
      <c r="O88" s="122">
        <v>745</v>
      </c>
      <c r="R88" s="120">
        <v>71.400000000000006</v>
      </c>
      <c r="S88" s="121">
        <v>41382</v>
      </c>
      <c r="T88" s="122">
        <v>31</v>
      </c>
      <c r="U88" s="119" t="s">
        <v>327</v>
      </c>
      <c r="V88" s="119" t="s">
        <v>91</v>
      </c>
      <c r="W88" s="122">
        <v>3</v>
      </c>
      <c r="X88" s="120">
        <v>25.78</v>
      </c>
      <c r="Y88" s="35"/>
    </row>
    <row r="89" spans="1:25" ht="13.5" customHeight="1">
      <c r="A89" s="270">
        <v>8993882105</v>
      </c>
      <c r="B89" s="119" t="s">
        <v>109</v>
      </c>
      <c r="C89" s="119" t="s">
        <v>92</v>
      </c>
      <c r="D89" s="271" t="s">
        <v>325</v>
      </c>
      <c r="E89" s="119" t="s">
        <v>330</v>
      </c>
      <c r="F89" s="271" t="s">
        <v>325</v>
      </c>
      <c r="G89" s="120">
        <v>94.96</v>
      </c>
      <c r="H89" s="120">
        <v>0</v>
      </c>
      <c r="I89" s="120">
        <v>94.96</v>
      </c>
      <c r="J89" s="121">
        <v>41416</v>
      </c>
      <c r="K89" s="121">
        <v>41416</v>
      </c>
      <c r="L89" s="122">
        <v>33</v>
      </c>
      <c r="M89" s="119" t="s">
        <v>327</v>
      </c>
      <c r="N89" s="271" t="s">
        <v>325</v>
      </c>
      <c r="O89" s="122">
        <v>72</v>
      </c>
      <c r="R89" s="120">
        <v>94.96</v>
      </c>
      <c r="S89" s="35"/>
      <c r="U89" s="271" t="s">
        <v>325</v>
      </c>
      <c r="V89" s="271" t="s">
        <v>325</v>
      </c>
      <c r="X89" s="120">
        <v>0</v>
      </c>
      <c r="Y89" s="35"/>
    </row>
    <row r="90" spans="1:25" ht="13.5" customHeight="1">
      <c r="A90" s="270">
        <v>9308810101</v>
      </c>
      <c r="B90" s="119" t="s">
        <v>109</v>
      </c>
      <c r="C90" s="119" t="s">
        <v>337</v>
      </c>
      <c r="D90" s="271" t="s">
        <v>325</v>
      </c>
      <c r="E90" s="271" t="s">
        <v>325</v>
      </c>
      <c r="F90" s="119" t="s">
        <v>335</v>
      </c>
      <c r="G90" s="120">
        <v>47.1</v>
      </c>
      <c r="H90" s="120">
        <v>0</v>
      </c>
      <c r="I90" s="120">
        <v>47.1</v>
      </c>
      <c r="J90" s="121">
        <v>41408</v>
      </c>
      <c r="M90" s="271" t="s">
        <v>325</v>
      </c>
      <c r="N90" s="271" t="s">
        <v>325</v>
      </c>
      <c r="R90" s="120">
        <v>0</v>
      </c>
      <c r="S90" s="121">
        <v>41403</v>
      </c>
      <c r="T90" s="122">
        <v>30</v>
      </c>
      <c r="U90" s="119" t="s">
        <v>327</v>
      </c>
      <c r="V90" s="119" t="s">
        <v>93</v>
      </c>
      <c r="W90" s="122">
        <v>72</v>
      </c>
      <c r="X90" s="120">
        <v>47.1</v>
      </c>
      <c r="Y90" s="35"/>
    </row>
    <row r="91" spans="1:25" ht="13.5" customHeight="1">
      <c r="A91" s="270">
        <v>9428808118</v>
      </c>
      <c r="B91" s="119" t="s">
        <v>109</v>
      </c>
      <c r="C91" s="119" t="s">
        <v>94</v>
      </c>
      <c r="D91" s="271" t="s">
        <v>325</v>
      </c>
      <c r="E91" s="271" t="s">
        <v>325</v>
      </c>
      <c r="F91" s="119" t="s">
        <v>236</v>
      </c>
      <c r="G91" s="120">
        <v>20.36</v>
      </c>
      <c r="H91" s="120">
        <v>0</v>
      </c>
      <c r="I91" s="120">
        <v>20.36</v>
      </c>
      <c r="J91" s="121">
        <v>41408</v>
      </c>
      <c r="M91" s="271" t="s">
        <v>325</v>
      </c>
      <c r="N91" s="271" t="s">
        <v>325</v>
      </c>
      <c r="R91" s="120">
        <v>0</v>
      </c>
      <c r="S91" s="121">
        <v>41403</v>
      </c>
      <c r="T91" s="122">
        <v>30</v>
      </c>
      <c r="U91" s="119" t="s">
        <v>327</v>
      </c>
      <c r="V91" s="119" t="s">
        <v>97</v>
      </c>
      <c r="W91" s="122">
        <v>0</v>
      </c>
      <c r="X91" s="120">
        <v>20.36</v>
      </c>
      <c r="Y91" s="35"/>
    </row>
    <row r="92" spans="1:25" ht="13.5" customHeight="1">
      <c r="A92" s="270">
        <v>9488810107</v>
      </c>
      <c r="B92" s="119" t="s">
        <v>109</v>
      </c>
      <c r="C92" s="119" t="s">
        <v>337</v>
      </c>
      <c r="D92" s="271" t="s">
        <v>325</v>
      </c>
      <c r="E92" s="119" t="s">
        <v>332</v>
      </c>
      <c r="F92" s="271" t="s">
        <v>325</v>
      </c>
      <c r="G92" s="120">
        <v>1918.57</v>
      </c>
      <c r="H92" s="120">
        <v>0</v>
      </c>
      <c r="I92" s="120">
        <v>1918.57</v>
      </c>
      <c r="J92" s="121">
        <v>41408</v>
      </c>
      <c r="K92" s="121">
        <v>41404</v>
      </c>
      <c r="L92" s="122">
        <v>30</v>
      </c>
      <c r="M92" s="119" t="s">
        <v>327</v>
      </c>
      <c r="N92" s="119" t="s">
        <v>98</v>
      </c>
      <c r="O92" s="122">
        <v>4640</v>
      </c>
      <c r="P92" s="122">
        <v>174.4</v>
      </c>
      <c r="Q92" s="272">
        <v>3.6952089704383281E-2</v>
      </c>
      <c r="R92" s="120">
        <v>1918.57</v>
      </c>
      <c r="S92" s="35"/>
      <c r="U92" s="271" t="s">
        <v>325</v>
      </c>
      <c r="V92" s="271" t="s">
        <v>325</v>
      </c>
      <c r="X92" s="120">
        <v>0</v>
      </c>
      <c r="Y92" s="35"/>
    </row>
    <row r="93" spans="1:25" ht="13.5" customHeight="1">
      <c r="A93" s="270">
        <v>9529017113</v>
      </c>
      <c r="B93" s="119" t="s">
        <v>109</v>
      </c>
      <c r="C93" s="119" t="s">
        <v>99</v>
      </c>
      <c r="D93" s="271" t="s">
        <v>325</v>
      </c>
      <c r="E93" s="119" t="s">
        <v>326</v>
      </c>
      <c r="F93" s="271" t="s">
        <v>325</v>
      </c>
      <c r="G93" s="120">
        <v>21.33</v>
      </c>
      <c r="H93" s="120">
        <v>0</v>
      </c>
      <c r="I93" s="120">
        <v>21.33</v>
      </c>
      <c r="J93" s="121">
        <v>41409</v>
      </c>
      <c r="K93" s="121">
        <v>41404</v>
      </c>
      <c r="L93" s="122">
        <v>30</v>
      </c>
      <c r="M93" s="119" t="s">
        <v>327</v>
      </c>
      <c r="N93" s="119" t="s">
        <v>100</v>
      </c>
      <c r="O93" s="122">
        <v>11</v>
      </c>
      <c r="R93" s="120">
        <v>21.33</v>
      </c>
      <c r="S93" s="35"/>
      <c r="U93" s="271" t="s">
        <v>325</v>
      </c>
      <c r="V93" s="271" t="s">
        <v>325</v>
      </c>
      <c r="X93" s="120">
        <v>0</v>
      </c>
      <c r="Y93" s="35"/>
    </row>
    <row r="94" spans="1:25" ht="13.5" customHeight="1">
      <c r="A94" s="270">
        <v>9753819107</v>
      </c>
      <c r="B94" s="119" t="s">
        <v>109</v>
      </c>
      <c r="C94" s="119" t="s">
        <v>101</v>
      </c>
      <c r="D94" s="271" t="s">
        <v>325</v>
      </c>
      <c r="E94" s="119" t="s">
        <v>332</v>
      </c>
      <c r="F94" s="119" t="s">
        <v>277</v>
      </c>
      <c r="G94" s="120">
        <v>844.13</v>
      </c>
      <c r="H94" s="120">
        <v>0</v>
      </c>
      <c r="I94" s="120">
        <v>844.13</v>
      </c>
      <c r="J94" s="121">
        <v>41416</v>
      </c>
      <c r="K94" s="121">
        <v>41414</v>
      </c>
      <c r="L94" s="122">
        <v>33</v>
      </c>
      <c r="M94" s="119" t="s">
        <v>327</v>
      </c>
      <c r="N94" s="119" t="s">
        <v>102</v>
      </c>
      <c r="O94" s="122">
        <v>14320</v>
      </c>
      <c r="P94" s="122">
        <v>52.8</v>
      </c>
      <c r="Q94" s="272">
        <v>0.34243954698500151</v>
      </c>
      <c r="R94" s="120">
        <v>749.15</v>
      </c>
      <c r="S94" s="121">
        <v>41411</v>
      </c>
      <c r="T94" s="122">
        <v>31</v>
      </c>
      <c r="U94" s="119" t="s">
        <v>327</v>
      </c>
      <c r="V94" s="119" t="s">
        <v>103</v>
      </c>
      <c r="W94" s="122">
        <v>82</v>
      </c>
      <c r="X94" s="120">
        <v>94.98</v>
      </c>
      <c r="Y94" s="35"/>
    </row>
    <row r="95" spans="1:25" ht="13.5" customHeight="1">
      <c r="A95" s="270">
        <v>9753820119</v>
      </c>
      <c r="B95" s="119" t="s">
        <v>109</v>
      </c>
      <c r="C95" s="119" t="s">
        <v>104</v>
      </c>
      <c r="D95" s="271" t="s">
        <v>325</v>
      </c>
      <c r="E95" s="119" t="s">
        <v>326</v>
      </c>
      <c r="F95" s="271" t="s">
        <v>325</v>
      </c>
      <c r="G95" s="120">
        <v>23.21</v>
      </c>
      <c r="H95" s="120">
        <v>0</v>
      </c>
      <c r="I95" s="120">
        <v>23.21</v>
      </c>
      <c r="J95" s="121">
        <v>41416</v>
      </c>
      <c r="K95" s="121">
        <v>41411</v>
      </c>
      <c r="L95" s="122">
        <v>31</v>
      </c>
      <c r="M95" s="119" t="s">
        <v>327</v>
      </c>
      <c r="N95" s="119" t="s">
        <v>105</v>
      </c>
      <c r="O95" s="122">
        <v>41</v>
      </c>
      <c r="R95" s="120">
        <v>23.21</v>
      </c>
      <c r="S95" s="35"/>
      <c r="U95" s="271" t="s">
        <v>325</v>
      </c>
      <c r="V95" s="271" t="s">
        <v>325</v>
      </c>
      <c r="X95" s="120">
        <v>0</v>
      </c>
      <c r="Y95" s="35"/>
    </row>
    <row r="96" spans="1:25" ht="13.5" customHeight="1">
      <c r="A96" s="270">
        <v>9953820104</v>
      </c>
      <c r="B96" s="119" t="s">
        <v>109</v>
      </c>
      <c r="C96" s="119" t="s">
        <v>106</v>
      </c>
      <c r="D96" s="271" t="s">
        <v>325</v>
      </c>
      <c r="E96" s="119" t="s">
        <v>326</v>
      </c>
      <c r="F96" s="271" t="s">
        <v>325</v>
      </c>
      <c r="G96" s="120">
        <v>33.479999999999997</v>
      </c>
      <c r="H96" s="120">
        <v>0</v>
      </c>
      <c r="I96" s="120">
        <v>33.479999999999997</v>
      </c>
      <c r="J96" s="121">
        <v>41416</v>
      </c>
      <c r="K96" s="121">
        <v>41411</v>
      </c>
      <c r="L96" s="122">
        <v>31</v>
      </c>
      <c r="M96" s="119" t="s">
        <v>327</v>
      </c>
      <c r="N96" s="119" t="s">
        <v>107</v>
      </c>
      <c r="O96" s="122">
        <v>204</v>
      </c>
      <c r="R96" s="120">
        <v>33.479999999999997</v>
      </c>
      <c r="S96" s="35"/>
      <c r="U96" s="271" t="s">
        <v>325</v>
      </c>
      <c r="V96" s="271" t="s">
        <v>325</v>
      </c>
      <c r="X96" s="120">
        <v>0</v>
      </c>
      <c r="Y96" s="35"/>
    </row>
    <row r="97" spans="7:25">
      <c r="G97" s="257"/>
      <c r="J97" s="35"/>
      <c r="R97" s="257"/>
      <c r="S97" s="35"/>
      <c r="X97" s="257"/>
      <c r="Y97" s="35"/>
    </row>
    <row r="98" spans="7:25">
      <c r="G98" s="257"/>
      <c r="I98" s="273">
        <f>SUM(I15:I97)</f>
        <v>20179.439999999995</v>
      </c>
      <c r="J98" s="35"/>
      <c r="R98" s="257"/>
      <c r="S98" s="35"/>
      <c r="X98" s="257"/>
      <c r="Y98" s="35"/>
    </row>
  </sheetData>
  <mergeCells count="3">
    <mergeCell ref="A5:E5"/>
    <mergeCell ref="A6:E6"/>
    <mergeCell ref="A11:B11"/>
  </mergeCells>
  <phoneticPr fontId="7" type="noConversion"/>
  <pageMargins left="0.25" right="0.25" top="0.75" bottom="0.75" header="0.3" footer="0.3"/>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4:Z98"/>
  <sheetViews>
    <sheetView zoomScaleNormal="83" zoomScaleSheetLayoutView="83" zoomScalePageLayoutView="83" workbookViewId="0"/>
  </sheetViews>
  <sheetFormatPr baseColWidth="10" defaultColWidth="8.83203125" defaultRowHeight="14" x14ac:dyDescent="0"/>
  <cols>
    <col min="1" max="1" width="15.83203125" style="35" customWidth="1"/>
    <col min="2" max="2" width="16.33203125" style="35" customWidth="1"/>
    <col min="3" max="3" width="34.83203125" style="35" customWidth="1"/>
    <col min="4" max="4" width="11.33203125" style="35" customWidth="1"/>
    <col min="5" max="5" width="8.83203125" style="35"/>
    <col min="6" max="6" width="10" style="35" hidden="1" customWidth="1"/>
    <col min="7" max="7" width="11.33203125" style="35" hidden="1" customWidth="1"/>
    <col min="8" max="8" width="8.83203125" style="257" hidden="1" customWidth="1"/>
    <col min="9" max="9" width="13.33203125" style="257" customWidth="1"/>
    <col min="10" max="10" width="12.5" style="257" hidden="1" customWidth="1"/>
    <col min="11" max="11" width="11.1640625" style="35" hidden="1" customWidth="1"/>
    <col min="12" max="12" width="10.83203125" style="35" hidden="1" customWidth="1"/>
    <col min="13" max="13" width="7" style="125" hidden="1" customWidth="1"/>
    <col min="14" max="14" width="2.1640625" style="125" hidden="1" customWidth="1"/>
    <col min="15" max="15" width="9.33203125" style="125" customWidth="1"/>
    <col min="16" max="16" width="11" style="35" hidden="1" customWidth="1"/>
    <col min="17" max="17" width="8.6640625" style="35" hidden="1" customWidth="1"/>
    <col min="18" max="18" width="11.5" style="35" customWidth="1"/>
    <col min="19" max="19" width="10.33203125" style="257" hidden="1" customWidth="1"/>
    <col min="20" max="20" width="7.5" style="257" hidden="1" customWidth="1"/>
    <col min="21" max="21" width="10" style="35" hidden="1" customWidth="1"/>
    <col min="22" max="22" width="7" style="35" hidden="1" customWidth="1"/>
    <col min="23" max="23" width="8.5" style="125" customWidth="1"/>
    <col min="24" max="24" width="11.33203125" style="35" customWidth="1"/>
    <col min="25" max="25" width="8.5" style="35" customWidth="1"/>
    <col min="26" max="26" width="10.33203125" style="257" customWidth="1"/>
    <col min="27" max="16384" width="8.83203125" style="35"/>
  </cols>
  <sheetData>
    <row r="4" spans="1:26" ht="15" thickBot="1"/>
    <row r="5" spans="1:26" ht="15" thickBot="1">
      <c r="A5" s="707" t="s">
        <v>289</v>
      </c>
      <c r="B5" s="708"/>
      <c r="C5" s="708"/>
      <c r="D5" s="708"/>
      <c r="E5" s="709"/>
      <c r="G5" s="257"/>
      <c r="J5" s="35"/>
      <c r="R5" s="257"/>
      <c r="Y5" s="257"/>
    </row>
    <row r="6" spans="1:26" ht="15" thickBot="1">
      <c r="A6" s="710" t="s">
        <v>290</v>
      </c>
      <c r="B6" s="711"/>
      <c r="C6" s="711"/>
      <c r="D6" s="711"/>
      <c r="E6" s="712"/>
      <c r="G6" s="257"/>
      <c r="J6" s="35"/>
      <c r="R6" s="257"/>
      <c r="Y6" s="257"/>
    </row>
    <row r="7" spans="1:26">
      <c r="A7" s="89" t="s">
        <v>291</v>
      </c>
      <c r="B7" s="91"/>
      <c r="C7" s="91"/>
      <c r="D7" s="91"/>
      <c r="E7" s="92"/>
      <c r="G7" s="257"/>
      <c r="J7" s="35"/>
      <c r="R7" s="257"/>
      <c r="Y7" s="257"/>
    </row>
    <row r="8" spans="1:26" ht="15" thickBot="1">
      <c r="A8" s="258" t="s">
        <v>292</v>
      </c>
      <c r="B8" s="259"/>
      <c r="C8" s="259"/>
      <c r="D8" s="259"/>
      <c r="E8" s="260"/>
      <c r="G8" s="257"/>
      <c r="J8" s="35"/>
      <c r="R8" s="257"/>
      <c r="Y8" s="257"/>
    </row>
    <row r="9" spans="1:26" ht="15" thickBot="1">
      <c r="A9" s="148" t="s">
        <v>293</v>
      </c>
      <c r="B9" s="261" t="s">
        <v>294</v>
      </c>
      <c r="C9" s="262">
        <v>41449</v>
      </c>
      <c r="D9" s="148" t="s">
        <v>295</v>
      </c>
      <c r="E9" s="262">
        <f>C9+14</f>
        <v>41463</v>
      </c>
      <c r="G9" s="257"/>
      <c r="J9" s="35"/>
      <c r="R9" s="257"/>
      <c r="Y9" s="257"/>
    </row>
    <row r="10" spans="1:26" ht="15" thickBot="1">
      <c r="A10" s="191" t="s">
        <v>296</v>
      </c>
      <c r="B10" s="263">
        <f>J98</f>
        <v>3398213</v>
      </c>
      <c r="C10" s="91"/>
      <c r="D10" s="91"/>
      <c r="E10" s="92"/>
      <c r="G10" s="257"/>
      <c r="J10" s="35"/>
      <c r="R10" s="257"/>
      <c r="Y10" s="257"/>
    </row>
    <row r="11" spans="1:26" ht="15" thickBot="1">
      <c r="A11" s="718" t="s">
        <v>297</v>
      </c>
      <c r="B11" s="719"/>
      <c r="C11" s="264">
        <v>41417</v>
      </c>
      <c r="D11" s="154" t="s">
        <v>298</v>
      </c>
      <c r="E11" s="262">
        <v>41449</v>
      </c>
      <c r="G11" s="257"/>
      <c r="J11" s="35"/>
      <c r="R11" s="257"/>
      <c r="Y11" s="257"/>
    </row>
    <row r="12" spans="1:26" ht="15" thickBot="1">
      <c r="A12" s="265" t="s">
        <v>299</v>
      </c>
      <c r="B12" s="266"/>
      <c r="C12" s="266"/>
      <c r="D12" s="266"/>
      <c r="E12" s="261"/>
      <c r="G12" s="257"/>
      <c r="J12" s="35"/>
      <c r="R12" s="257"/>
      <c r="Y12" s="257"/>
    </row>
    <row r="13" spans="1:26" ht="15" thickBot="1">
      <c r="A13" s="195">
        <f>E11</f>
        <v>41449</v>
      </c>
      <c r="B13" s="266"/>
      <c r="C13" s="266"/>
      <c r="D13" s="266"/>
      <c r="E13" s="261"/>
      <c r="G13" s="257"/>
      <c r="J13" s="35"/>
      <c r="R13" s="257"/>
      <c r="Y13" s="257"/>
    </row>
    <row r="14" spans="1:26" s="116" customFormat="1" ht="40" customHeight="1">
      <c r="A14" s="114" t="s">
        <v>370</v>
      </c>
      <c r="B14" s="274" t="s">
        <v>300</v>
      </c>
      <c r="C14" s="114" t="s">
        <v>301</v>
      </c>
      <c r="D14" s="114" t="s">
        <v>302</v>
      </c>
      <c r="E14" s="114" t="s">
        <v>303</v>
      </c>
      <c r="F14" s="114" t="s">
        <v>304</v>
      </c>
      <c r="G14" s="115" t="s">
        <v>305</v>
      </c>
      <c r="H14" s="115" t="s">
        <v>306</v>
      </c>
      <c r="I14" s="115" t="s">
        <v>307</v>
      </c>
      <c r="J14" s="114" t="s">
        <v>308</v>
      </c>
      <c r="K14" s="114" t="s">
        <v>119</v>
      </c>
      <c r="L14" s="114" t="s">
        <v>120</v>
      </c>
      <c r="M14" s="114" t="s">
        <v>121</v>
      </c>
      <c r="N14" s="114" t="s">
        <v>312</v>
      </c>
      <c r="O14" s="114" t="s">
        <v>313</v>
      </c>
      <c r="P14" s="114" t="s">
        <v>314</v>
      </c>
      <c r="Q14" s="114" t="s">
        <v>315</v>
      </c>
      <c r="R14" s="115" t="s">
        <v>122</v>
      </c>
      <c r="S14" s="114" t="s">
        <v>317</v>
      </c>
      <c r="T14" s="114" t="s">
        <v>123</v>
      </c>
      <c r="U14" s="275" t="s">
        <v>319</v>
      </c>
      <c r="V14" s="114" t="s">
        <v>320</v>
      </c>
      <c r="W14" s="114" t="s">
        <v>321</v>
      </c>
      <c r="X14" s="115" t="s">
        <v>124</v>
      </c>
    </row>
    <row r="15" spans="1:26" ht="13.5" customHeight="1">
      <c r="A15" s="270">
        <v>143027007</v>
      </c>
      <c r="B15" s="276" t="s">
        <v>323</v>
      </c>
      <c r="C15" s="119" t="s">
        <v>324</v>
      </c>
      <c r="D15" s="271" t="s">
        <v>325</v>
      </c>
      <c r="E15" s="119" t="s">
        <v>326</v>
      </c>
      <c r="F15" s="271" t="s">
        <v>325</v>
      </c>
      <c r="G15" s="120">
        <v>23.15</v>
      </c>
      <c r="H15" s="120">
        <v>0</v>
      </c>
      <c r="I15" s="120">
        <v>23.15</v>
      </c>
      <c r="J15" s="121">
        <v>41445</v>
      </c>
      <c r="K15" s="121">
        <v>41443</v>
      </c>
      <c r="L15" s="272">
        <v>32</v>
      </c>
      <c r="M15" s="272" t="s">
        <v>327</v>
      </c>
      <c r="N15" s="272" t="s">
        <v>328</v>
      </c>
      <c r="O15" s="122">
        <v>41</v>
      </c>
      <c r="R15" s="120">
        <v>23.15</v>
      </c>
      <c r="S15" s="35"/>
      <c r="T15" s="35"/>
      <c r="U15" s="277" t="s">
        <v>325</v>
      </c>
      <c r="V15" s="271" t="s">
        <v>325</v>
      </c>
      <c r="W15" s="35"/>
      <c r="X15" s="120">
        <v>0</v>
      </c>
      <c r="Z15" s="35"/>
    </row>
    <row r="16" spans="1:26" ht="13.5" customHeight="1">
      <c r="A16" s="270">
        <v>173880101</v>
      </c>
      <c r="B16" s="276" t="s">
        <v>323</v>
      </c>
      <c r="C16" s="119" t="s">
        <v>329</v>
      </c>
      <c r="D16" s="271" t="s">
        <v>325</v>
      </c>
      <c r="E16" s="119" t="s">
        <v>330</v>
      </c>
      <c r="F16" s="271" t="s">
        <v>325</v>
      </c>
      <c r="G16" s="120">
        <v>8.8800000000000008</v>
      </c>
      <c r="H16" s="120">
        <v>0</v>
      </c>
      <c r="I16" s="120">
        <v>8.8800000000000008</v>
      </c>
      <c r="J16" s="121">
        <v>41445</v>
      </c>
      <c r="K16" s="121">
        <v>41445</v>
      </c>
      <c r="L16" s="272">
        <v>29</v>
      </c>
      <c r="M16" s="272" t="s">
        <v>327</v>
      </c>
      <c r="N16" s="277" t="s">
        <v>325</v>
      </c>
      <c r="O16" s="122">
        <v>42</v>
      </c>
      <c r="R16" s="120">
        <v>8.8800000000000008</v>
      </c>
      <c r="S16" s="35"/>
      <c r="T16" s="35"/>
      <c r="U16" s="277" t="s">
        <v>325</v>
      </c>
      <c r="V16" s="271" t="s">
        <v>325</v>
      </c>
      <c r="W16" s="35"/>
      <c r="X16" s="120">
        <v>0</v>
      </c>
      <c r="Z16" s="35"/>
    </row>
    <row r="17" spans="1:26" ht="13.5" customHeight="1">
      <c r="A17" s="270">
        <v>208811116</v>
      </c>
      <c r="B17" s="276" t="s">
        <v>323</v>
      </c>
      <c r="C17" s="119" t="s">
        <v>331</v>
      </c>
      <c r="D17" s="271" t="s">
        <v>325</v>
      </c>
      <c r="E17" s="119" t="s">
        <v>332</v>
      </c>
      <c r="F17" s="271" t="s">
        <v>325</v>
      </c>
      <c r="G17" s="120">
        <v>161.26</v>
      </c>
      <c r="H17" s="120">
        <v>0</v>
      </c>
      <c r="I17" s="120">
        <v>161.26</v>
      </c>
      <c r="J17" s="121">
        <v>41438</v>
      </c>
      <c r="K17" s="121">
        <v>41435</v>
      </c>
      <c r="L17" s="272">
        <v>32</v>
      </c>
      <c r="M17" s="272" t="s">
        <v>327</v>
      </c>
      <c r="N17" s="272" t="s">
        <v>333</v>
      </c>
      <c r="O17" s="122">
        <v>2282</v>
      </c>
      <c r="P17" s="122">
        <v>8.4</v>
      </c>
      <c r="Q17" s="122">
        <v>0.3537326388888889</v>
      </c>
      <c r="R17" s="120">
        <v>161.26</v>
      </c>
      <c r="S17" s="35"/>
      <c r="T17" s="35"/>
      <c r="U17" s="277" t="s">
        <v>325</v>
      </c>
      <c r="V17" s="271" t="s">
        <v>325</v>
      </c>
      <c r="W17" s="35"/>
      <c r="X17" s="120">
        <v>0</v>
      </c>
      <c r="Z17" s="35"/>
    </row>
    <row r="18" spans="1:26" ht="13.5" customHeight="1">
      <c r="A18" s="270">
        <v>248811109</v>
      </c>
      <c r="B18" s="276" t="s">
        <v>323</v>
      </c>
      <c r="C18" s="119" t="s">
        <v>334</v>
      </c>
      <c r="D18" s="271" t="s">
        <v>325</v>
      </c>
      <c r="E18" s="271" t="s">
        <v>325</v>
      </c>
      <c r="F18" s="119" t="s">
        <v>335</v>
      </c>
      <c r="G18" s="120">
        <v>52.05</v>
      </c>
      <c r="H18" s="120">
        <v>0</v>
      </c>
      <c r="I18" s="120">
        <v>52.05</v>
      </c>
      <c r="J18" s="121">
        <v>41438</v>
      </c>
      <c r="L18" s="125"/>
      <c r="M18" s="277" t="s">
        <v>325</v>
      </c>
      <c r="N18" s="277" t="s">
        <v>325</v>
      </c>
      <c r="O18" s="35"/>
      <c r="R18" s="120">
        <v>0</v>
      </c>
      <c r="S18" s="121">
        <v>41437</v>
      </c>
      <c r="T18" s="122">
        <v>29</v>
      </c>
      <c r="U18" s="272" t="s">
        <v>327</v>
      </c>
      <c r="V18" s="119" t="s">
        <v>336</v>
      </c>
      <c r="W18" s="122">
        <v>91</v>
      </c>
      <c r="X18" s="120">
        <v>52.05</v>
      </c>
      <c r="Z18" s="35"/>
    </row>
    <row r="19" spans="1:26" ht="13.5" customHeight="1">
      <c r="A19" s="270">
        <v>288811101</v>
      </c>
      <c r="B19" s="276" t="s">
        <v>323</v>
      </c>
      <c r="C19" s="119" t="s">
        <v>337</v>
      </c>
      <c r="D19" s="271" t="s">
        <v>325</v>
      </c>
      <c r="E19" s="119" t="s">
        <v>332</v>
      </c>
      <c r="F19" s="271" t="s">
        <v>325</v>
      </c>
      <c r="G19" s="120">
        <v>623.39</v>
      </c>
      <c r="H19" s="120">
        <v>0</v>
      </c>
      <c r="I19" s="120">
        <v>623.39</v>
      </c>
      <c r="J19" s="121">
        <v>41438</v>
      </c>
      <c r="K19" s="121">
        <v>41435</v>
      </c>
      <c r="L19" s="272">
        <v>32</v>
      </c>
      <c r="M19" s="272" t="s">
        <v>327</v>
      </c>
      <c r="N19" s="272" t="s">
        <v>338</v>
      </c>
      <c r="O19" s="122">
        <v>9200</v>
      </c>
      <c r="P19" s="122">
        <v>46.4</v>
      </c>
      <c r="Q19" s="122">
        <v>0.25817169540229884</v>
      </c>
      <c r="R19" s="120">
        <v>623.39</v>
      </c>
      <c r="S19" s="35"/>
      <c r="T19" s="35"/>
      <c r="U19" s="277" t="s">
        <v>325</v>
      </c>
      <c r="V19" s="271" t="s">
        <v>325</v>
      </c>
      <c r="W19" s="35"/>
      <c r="X19" s="120">
        <v>0</v>
      </c>
      <c r="Z19" s="35"/>
    </row>
    <row r="20" spans="1:26" ht="13.5" customHeight="1">
      <c r="A20" s="270">
        <v>293879106</v>
      </c>
      <c r="B20" s="276" t="s">
        <v>323</v>
      </c>
      <c r="C20" s="119" t="s">
        <v>339</v>
      </c>
      <c r="D20" s="119" t="s">
        <v>340</v>
      </c>
      <c r="E20" s="119" t="s">
        <v>330</v>
      </c>
      <c r="F20" s="271" t="s">
        <v>325</v>
      </c>
      <c r="G20" s="120">
        <v>234.71</v>
      </c>
      <c r="H20" s="120">
        <v>0</v>
      </c>
      <c r="I20" s="120">
        <v>234.71</v>
      </c>
      <c r="J20" s="121">
        <v>41445</v>
      </c>
      <c r="K20" s="121">
        <v>41445</v>
      </c>
      <c r="L20" s="272">
        <v>29</v>
      </c>
      <c r="M20" s="272" t="s">
        <v>327</v>
      </c>
      <c r="N20" s="277" t="s">
        <v>325</v>
      </c>
      <c r="O20" s="122">
        <v>524</v>
      </c>
      <c r="R20" s="120">
        <v>234.71</v>
      </c>
      <c r="S20" s="35"/>
      <c r="T20" s="35"/>
      <c r="U20" s="277" t="s">
        <v>325</v>
      </c>
      <c r="V20" s="271" t="s">
        <v>325</v>
      </c>
      <c r="W20" s="35"/>
      <c r="X20" s="120">
        <v>0</v>
      </c>
      <c r="Z20" s="35"/>
    </row>
    <row r="21" spans="1:26" ht="13.5" customHeight="1">
      <c r="A21" s="270">
        <v>308809118</v>
      </c>
      <c r="B21" s="276" t="s">
        <v>323</v>
      </c>
      <c r="C21" s="119" t="s">
        <v>341</v>
      </c>
      <c r="D21" s="271" t="s">
        <v>325</v>
      </c>
      <c r="E21" s="119" t="s">
        <v>342</v>
      </c>
      <c r="F21" s="119" t="s">
        <v>236</v>
      </c>
      <c r="G21" s="120">
        <v>103.1</v>
      </c>
      <c r="H21" s="120">
        <v>0</v>
      </c>
      <c r="I21" s="120">
        <v>103.1</v>
      </c>
      <c r="J21" s="121">
        <v>41438</v>
      </c>
      <c r="K21" s="121">
        <v>41437</v>
      </c>
      <c r="L21" s="272">
        <v>29</v>
      </c>
      <c r="M21" s="272" t="s">
        <v>327</v>
      </c>
      <c r="N21" s="272" t="s">
        <v>237</v>
      </c>
      <c r="O21" s="122">
        <v>296</v>
      </c>
      <c r="R21" s="120">
        <v>31.39</v>
      </c>
      <c r="S21" s="121">
        <v>41437</v>
      </c>
      <c r="T21" s="122">
        <v>29</v>
      </c>
      <c r="U21" s="272" t="s">
        <v>327</v>
      </c>
      <c r="V21" s="119" t="s">
        <v>238</v>
      </c>
      <c r="W21" s="122">
        <v>69</v>
      </c>
      <c r="X21" s="120">
        <v>71.709999999999994</v>
      </c>
      <c r="Z21" s="35"/>
    </row>
    <row r="22" spans="1:26" ht="13.5" customHeight="1">
      <c r="A22" s="270">
        <v>375074007</v>
      </c>
      <c r="B22" s="276" t="s">
        <v>323</v>
      </c>
      <c r="C22" s="119" t="s">
        <v>239</v>
      </c>
      <c r="D22" s="271" t="s">
        <v>325</v>
      </c>
      <c r="E22" s="119" t="s">
        <v>326</v>
      </c>
      <c r="F22" s="271" t="s">
        <v>325</v>
      </c>
      <c r="G22" s="120">
        <v>33.56</v>
      </c>
      <c r="H22" s="120">
        <v>0</v>
      </c>
      <c r="I22" s="120">
        <v>33.56</v>
      </c>
      <c r="J22" s="121">
        <v>41445</v>
      </c>
      <c r="K22" s="121">
        <v>41443</v>
      </c>
      <c r="L22" s="272">
        <v>32</v>
      </c>
      <c r="M22" s="272" t="s">
        <v>327</v>
      </c>
      <c r="N22" s="272" t="s">
        <v>241</v>
      </c>
      <c r="O22" s="122">
        <v>210</v>
      </c>
      <c r="R22" s="120">
        <v>33.56</v>
      </c>
      <c r="S22" s="35"/>
      <c r="T22" s="35"/>
      <c r="U22" s="277" t="s">
        <v>325</v>
      </c>
      <c r="V22" s="271" t="s">
        <v>325</v>
      </c>
      <c r="W22" s="35"/>
      <c r="X22" s="120">
        <v>0</v>
      </c>
      <c r="Z22" s="35"/>
    </row>
    <row r="23" spans="1:26" ht="13.5" customHeight="1">
      <c r="A23" s="270">
        <v>783104003</v>
      </c>
      <c r="B23" s="276" t="s">
        <v>323</v>
      </c>
      <c r="C23" s="119" t="s">
        <v>242</v>
      </c>
      <c r="D23" s="271" t="s">
        <v>325</v>
      </c>
      <c r="E23" s="119" t="s">
        <v>326</v>
      </c>
      <c r="F23" s="271" t="s">
        <v>325</v>
      </c>
      <c r="G23" s="120">
        <v>21.68</v>
      </c>
      <c r="H23" s="120">
        <v>0</v>
      </c>
      <c r="I23" s="120">
        <v>21.68</v>
      </c>
      <c r="J23" s="121">
        <v>41438</v>
      </c>
      <c r="K23" s="121">
        <v>41437</v>
      </c>
      <c r="L23" s="272">
        <v>34</v>
      </c>
      <c r="M23" s="272" t="s">
        <v>327</v>
      </c>
      <c r="N23" s="272" t="s">
        <v>243</v>
      </c>
      <c r="O23" s="122">
        <v>17</v>
      </c>
      <c r="R23" s="120">
        <v>21.68</v>
      </c>
      <c r="S23" s="35"/>
      <c r="T23" s="35"/>
      <c r="U23" s="277" t="s">
        <v>325</v>
      </c>
      <c r="V23" s="271" t="s">
        <v>325</v>
      </c>
      <c r="W23" s="35"/>
      <c r="X23" s="120">
        <v>0</v>
      </c>
      <c r="Z23" s="35"/>
    </row>
    <row r="24" spans="1:26" ht="13.5" customHeight="1">
      <c r="A24" s="270">
        <v>852028007</v>
      </c>
      <c r="B24" s="276" t="s">
        <v>323</v>
      </c>
      <c r="C24" s="119" t="s">
        <v>244</v>
      </c>
      <c r="D24" s="271" t="s">
        <v>325</v>
      </c>
      <c r="E24" s="271" t="s">
        <v>325</v>
      </c>
      <c r="F24" s="119" t="s">
        <v>335</v>
      </c>
      <c r="G24" s="120">
        <v>26.46</v>
      </c>
      <c r="H24" s="120">
        <v>0</v>
      </c>
      <c r="I24" s="120">
        <v>26.46</v>
      </c>
      <c r="J24" s="121">
        <v>41445</v>
      </c>
      <c r="L24" s="125"/>
      <c r="M24" s="277" t="s">
        <v>325</v>
      </c>
      <c r="N24" s="277" t="s">
        <v>325</v>
      </c>
      <c r="O24" s="35"/>
      <c r="R24" s="120">
        <v>0</v>
      </c>
      <c r="S24" s="121">
        <v>41443</v>
      </c>
      <c r="T24" s="122">
        <v>32</v>
      </c>
      <c r="U24" s="272" t="s">
        <v>327</v>
      </c>
      <c r="V24" s="119" t="s">
        <v>245</v>
      </c>
      <c r="W24" s="122">
        <v>11</v>
      </c>
      <c r="X24" s="120">
        <v>26.46</v>
      </c>
      <c r="Z24" s="35"/>
    </row>
    <row r="25" spans="1:26" ht="13.5" customHeight="1">
      <c r="A25" s="270">
        <v>893816110</v>
      </c>
      <c r="B25" s="276" t="s">
        <v>323</v>
      </c>
      <c r="C25" s="119" t="s">
        <v>246</v>
      </c>
      <c r="D25" s="271" t="s">
        <v>325</v>
      </c>
      <c r="E25" s="119" t="s">
        <v>326</v>
      </c>
      <c r="F25" s="271" t="s">
        <v>325</v>
      </c>
      <c r="G25" s="120">
        <v>27.12</v>
      </c>
      <c r="H25" s="120">
        <v>0</v>
      </c>
      <c r="I25" s="120">
        <v>27.12</v>
      </c>
      <c r="J25" s="121">
        <v>41445</v>
      </c>
      <c r="K25" s="121">
        <v>41443</v>
      </c>
      <c r="L25" s="272">
        <v>32</v>
      </c>
      <c r="M25" s="272" t="s">
        <v>327</v>
      </c>
      <c r="N25" s="272" t="s">
        <v>247</v>
      </c>
      <c r="O25" s="122">
        <v>105</v>
      </c>
      <c r="R25" s="120">
        <v>27.12</v>
      </c>
      <c r="S25" s="35"/>
      <c r="T25" s="35"/>
      <c r="U25" s="277" t="s">
        <v>325</v>
      </c>
      <c r="V25" s="271" t="s">
        <v>325</v>
      </c>
      <c r="W25" s="35"/>
      <c r="X25" s="120">
        <v>0</v>
      </c>
      <c r="Z25" s="35"/>
    </row>
    <row r="26" spans="1:26" ht="13.5" customHeight="1">
      <c r="A26" s="270">
        <v>893819102</v>
      </c>
      <c r="B26" s="276" t="s">
        <v>323</v>
      </c>
      <c r="C26" s="119" t="s">
        <v>248</v>
      </c>
      <c r="D26" s="271" t="s">
        <v>325</v>
      </c>
      <c r="E26" s="271" t="s">
        <v>325</v>
      </c>
      <c r="F26" s="119" t="s">
        <v>335</v>
      </c>
      <c r="G26" s="120">
        <v>23.77</v>
      </c>
      <c r="H26" s="120">
        <v>0</v>
      </c>
      <c r="I26" s="120">
        <v>23.77</v>
      </c>
      <c r="J26" s="121">
        <v>41445</v>
      </c>
      <c r="L26" s="125"/>
      <c r="M26" s="277" t="s">
        <v>325</v>
      </c>
      <c r="N26" s="277" t="s">
        <v>325</v>
      </c>
      <c r="O26" s="35"/>
      <c r="R26" s="120">
        <v>0</v>
      </c>
      <c r="S26" s="121">
        <v>41443</v>
      </c>
      <c r="T26" s="122">
        <v>32</v>
      </c>
      <c r="U26" s="272" t="s">
        <v>327</v>
      </c>
      <c r="V26" s="119" t="s">
        <v>249</v>
      </c>
      <c r="W26" s="122">
        <v>0</v>
      </c>
      <c r="X26" s="120">
        <v>23.77</v>
      </c>
      <c r="Z26" s="35"/>
    </row>
    <row r="27" spans="1:26" ht="13.5" customHeight="1">
      <c r="A27" s="270">
        <v>913819100</v>
      </c>
      <c r="B27" s="276" t="s">
        <v>323</v>
      </c>
      <c r="C27" s="119" t="s">
        <v>250</v>
      </c>
      <c r="D27" s="271" t="s">
        <v>325</v>
      </c>
      <c r="E27" s="271" t="s">
        <v>325</v>
      </c>
      <c r="F27" s="119" t="s">
        <v>335</v>
      </c>
      <c r="G27" s="120">
        <v>23.8</v>
      </c>
      <c r="H27" s="120">
        <v>0</v>
      </c>
      <c r="I27" s="120">
        <v>23.8</v>
      </c>
      <c r="J27" s="121">
        <v>41445</v>
      </c>
      <c r="L27" s="125"/>
      <c r="M27" s="277" t="s">
        <v>325</v>
      </c>
      <c r="N27" s="277" t="s">
        <v>325</v>
      </c>
      <c r="O27" s="35"/>
      <c r="R27" s="120">
        <v>0</v>
      </c>
      <c r="S27" s="121">
        <v>41443</v>
      </c>
      <c r="T27" s="122">
        <v>32</v>
      </c>
      <c r="U27" s="272" t="s">
        <v>327</v>
      </c>
      <c r="V27" s="119" t="s">
        <v>251</v>
      </c>
      <c r="W27" s="122">
        <v>1</v>
      </c>
      <c r="X27" s="120">
        <v>23.8</v>
      </c>
      <c r="Z27" s="35"/>
    </row>
    <row r="28" spans="1:26" ht="13.5" customHeight="1">
      <c r="A28" s="270">
        <v>933819115</v>
      </c>
      <c r="B28" s="276" t="s">
        <v>323</v>
      </c>
      <c r="C28" s="119" t="s">
        <v>252</v>
      </c>
      <c r="D28" s="271" t="s">
        <v>325</v>
      </c>
      <c r="E28" s="271" t="s">
        <v>325</v>
      </c>
      <c r="F28" s="119" t="s">
        <v>335</v>
      </c>
      <c r="G28" s="120">
        <v>25.47</v>
      </c>
      <c r="H28" s="120">
        <v>0</v>
      </c>
      <c r="I28" s="120">
        <v>25.47</v>
      </c>
      <c r="J28" s="121">
        <v>41445</v>
      </c>
      <c r="L28" s="125"/>
      <c r="M28" s="277" t="s">
        <v>325</v>
      </c>
      <c r="N28" s="277" t="s">
        <v>325</v>
      </c>
      <c r="O28" s="35"/>
      <c r="R28" s="120">
        <v>0</v>
      </c>
      <c r="S28" s="121">
        <v>41443</v>
      </c>
      <c r="T28" s="122">
        <v>32</v>
      </c>
      <c r="U28" s="272" t="s">
        <v>327</v>
      </c>
      <c r="V28" s="119" t="s">
        <v>253</v>
      </c>
      <c r="W28" s="122">
        <v>8</v>
      </c>
      <c r="X28" s="120">
        <v>25.47</v>
      </c>
      <c r="Z28" s="35"/>
    </row>
    <row r="29" spans="1:26" ht="13.5" customHeight="1">
      <c r="A29" s="270">
        <v>948810124</v>
      </c>
      <c r="B29" s="276" t="s">
        <v>323</v>
      </c>
      <c r="C29" s="119" t="s">
        <v>254</v>
      </c>
      <c r="D29" s="271" t="s">
        <v>325</v>
      </c>
      <c r="E29" s="119" t="s">
        <v>255</v>
      </c>
      <c r="F29" s="271" t="s">
        <v>325</v>
      </c>
      <c r="G29" s="120">
        <v>113.75</v>
      </c>
      <c r="H29" s="120">
        <v>0</v>
      </c>
      <c r="I29" s="120">
        <v>113.75</v>
      </c>
      <c r="J29" s="121">
        <v>41438</v>
      </c>
      <c r="K29" s="121">
        <v>41435</v>
      </c>
      <c r="L29" s="272">
        <v>32</v>
      </c>
      <c r="M29" s="272" t="s">
        <v>327</v>
      </c>
      <c r="N29" s="272" t="s">
        <v>256</v>
      </c>
      <c r="O29" s="122">
        <v>639</v>
      </c>
      <c r="R29" s="120">
        <v>113.75</v>
      </c>
      <c r="S29" s="35"/>
      <c r="T29" s="35"/>
      <c r="U29" s="277" t="s">
        <v>325</v>
      </c>
      <c r="V29" s="271" t="s">
        <v>325</v>
      </c>
      <c r="W29" s="35"/>
      <c r="X29" s="120">
        <v>0</v>
      </c>
      <c r="Z29" s="35"/>
    </row>
    <row r="30" spans="1:26" ht="13.5" customHeight="1">
      <c r="A30" s="270">
        <v>1028809119</v>
      </c>
      <c r="B30" s="276" t="s">
        <v>323</v>
      </c>
      <c r="C30" s="119" t="s">
        <v>257</v>
      </c>
      <c r="D30" s="271" t="s">
        <v>325</v>
      </c>
      <c r="E30" s="119" t="s">
        <v>255</v>
      </c>
      <c r="F30" s="271" t="s">
        <v>325</v>
      </c>
      <c r="G30" s="120">
        <v>20.62</v>
      </c>
      <c r="H30" s="120">
        <v>0</v>
      </c>
      <c r="I30" s="120">
        <v>20.62</v>
      </c>
      <c r="J30" s="121">
        <v>41438</v>
      </c>
      <c r="K30" s="121">
        <v>41437</v>
      </c>
      <c r="L30" s="272">
        <v>29</v>
      </c>
      <c r="M30" s="272" t="s">
        <v>327</v>
      </c>
      <c r="N30" s="272" t="s">
        <v>258</v>
      </c>
      <c r="O30" s="122">
        <v>0</v>
      </c>
      <c r="R30" s="120">
        <v>20.62</v>
      </c>
      <c r="S30" s="35"/>
      <c r="T30" s="35"/>
      <c r="U30" s="277" t="s">
        <v>325</v>
      </c>
      <c r="V30" s="271" t="s">
        <v>325</v>
      </c>
      <c r="W30" s="35"/>
      <c r="X30" s="120">
        <v>0</v>
      </c>
      <c r="Z30" s="35"/>
    </row>
    <row r="31" spans="1:26" ht="13.5" customHeight="1">
      <c r="A31" s="270">
        <v>1133133008</v>
      </c>
      <c r="B31" s="276" t="s">
        <v>323</v>
      </c>
      <c r="C31" s="119" t="s">
        <v>259</v>
      </c>
      <c r="D31" s="271" t="s">
        <v>325</v>
      </c>
      <c r="E31" s="119" t="s">
        <v>326</v>
      </c>
      <c r="F31" s="271" t="s">
        <v>325</v>
      </c>
      <c r="G31" s="120">
        <v>31.3</v>
      </c>
      <c r="H31" s="120">
        <v>0</v>
      </c>
      <c r="I31" s="120">
        <v>31.3</v>
      </c>
      <c r="J31" s="121">
        <v>41432</v>
      </c>
      <c r="K31" s="121">
        <v>41430</v>
      </c>
      <c r="L31" s="272">
        <v>33</v>
      </c>
      <c r="M31" s="272" t="s">
        <v>327</v>
      </c>
      <c r="N31" s="272" t="s">
        <v>260</v>
      </c>
      <c r="O31" s="122">
        <v>173</v>
      </c>
      <c r="R31" s="120">
        <v>31.3</v>
      </c>
      <c r="S31" s="35"/>
      <c r="T31" s="35"/>
      <c r="U31" s="277" t="s">
        <v>325</v>
      </c>
      <c r="V31" s="271" t="s">
        <v>325</v>
      </c>
      <c r="W31" s="35"/>
      <c r="X31" s="120">
        <v>0</v>
      </c>
      <c r="Z31" s="35"/>
    </row>
    <row r="32" spans="1:26" ht="13.5" customHeight="1">
      <c r="A32" s="270">
        <v>1133819101</v>
      </c>
      <c r="B32" s="276" t="s">
        <v>323</v>
      </c>
      <c r="C32" s="119" t="s">
        <v>261</v>
      </c>
      <c r="D32" s="271" t="s">
        <v>325</v>
      </c>
      <c r="E32" s="119" t="s">
        <v>326</v>
      </c>
      <c r="F32" s="271" t="s">
        <v>325</v>
      </c>
      <c r="G32" s="120">
        <v>49.35</v>
      </c>
      <c r="H32" s="120">
        <v>0</v>
      </c>
      <c r="I32" s="120">
        <v>49.35</v>
      </c>
      <c r="J32" s="121">
        <v>41445</v>
      </c>
      <c r="K32" s="121">
        <v>41443</v>
      </c>
      <c r="L32" s="272">
        <v>32</v>
      </c>
      <c r="M32" s="272" t="s">
        <v>327</v>
      </c>
      <c r="N32" s="272" t="s">
        <v>262</v>
      </c>
      <c r="O32" s="122">
        <v>466</v>
      </c>
      <c r="R32" s="120">
        <v>49.35</v>
      </c>
      <c r="S32" s="35"/>
      <c r="T32" s="35"/>
      <c r="U32" s="277" t="s">
        <v>325</v>
      </c>
      <c r="V32" s="271" t="s">
        <v>325</v>
      </c>
      <c r="W32" s="35"/>
      <c r="X32" s="120">
        <v>0</v>
      </c>
      <c r="Z32" s="35"/>
    </row>
    <row r="33" spans="1:26" ht="13.5" customHeight="1">
      <c r="A33" s="270">
        <v>1193808115</v>
      </c>
      <c r="B33" s="276" t="s">
        <v>323</v>
      </c>
      <c r="C33" s="119" t="s">
        <v>263</v>
      </c>
      <c r="D33" s="271" t="s">
        <v>325</v>
      </c>
      <c r="E33" s="119" t="s">
        <v>326</v>
      </c>
      <c r="F33" s="271" t="s">
        <v>325</v>
      </c>
      <c r="G33" s="120">
        <v>26.9</v>
      </c>
      <c r="H33" s="120">
        <v>0</v>
      </c>
      <c r="I33" s="120">
        <v>26.9</v>
      </c>
      <c r="J33" s="121">
        <v>41445</v>
      </c>
      <c r="K33" s="121">
        <v>41443</v>
      </c>
      <c r="L33" s="272">
        <v>32</v>
      </c>
      <c r="M33" s="272" t="s">
        <v>327</v>
      </c>
      <c r="N33" s="272" t="s">
        <v>264</v>
      </c>
      <c r="O33" s="122">
        <v>102</v>
      </c>
      <c r="R33" s="120">
        <v>26.9</v>
      </c>
      <c r="S33" s="35"/>
      <c r="T33" s="35"/>
      <c r="U33" s="277" t="s">
        <v>325</v>
      </c>
      <c r="V33" s="271" t="s">
        <v>325</v>
      </c>
      <c r="W33" s="35"/>
      <c r="X33" s="120">
        <v>0</v>
      </c>
      <c r="Z33" s="35"/>
    </row>
    <row r="34" spans="1:26" ht="13.5" customHeight="1">
      <c r="A34" s="270">
        <v>1492627005</v>
      </c>
      <c r="B34" s="276" t="s">
        <v>323</v>
      </c>
      <c r="C34" s="119" t="s">
        <v>265</v>
      </c>
      <c r="D34" s="271" t="s">
        <v>325</v>
      </c>
      <c r="E34" s="119" t="s">
        <v>326</v>
      </c>
      <c r="F34" s="271" t="s">
        <v>325</v>
      </c>
      <c r="G34" s="120">
        <v>26.79</v>
      </c>
      <c r="H34" s="120">
        <v>0</v>
      </c>
      <c r="I34" s="120">
        <v>26.79</v>
      </c>
      <c r="J34" s="121">
        <v>41438</v>
      </c>
      <c r="K34" s="121">
        <v>41437</v>
      </c>
      <c r="L34" s="272">
        <v>34</v>
      </c>
      <c r="M34" s="272" t="s">
        <v>327</v>
      </c>
      <c r="N34" s="272" t="s">
        <v>266</v>
      </c>
      <c r="O34" s="122">
        <v>100</v>
      </c>
      <c r="R34" s="120">
        <v>26.79</v>
      </c>
      <c r="S34" s="35"/>
      <c r="T34" s="35"/>
      <c r="U34" s="277" t="s">
        <v>325</v>
      </c>
      <c r="V34" s="271" t="s">
        <v>325</v>
      </c>
      <c r="W34" s="35"/>
      <c r="X34" s="120">
        <v>0</v>
      </c>
      <c r="Z34" s="35"/>
    </row>
    <row r="35" spans="1:26" ht="13.5" customHeight="1">
      <c r="A35" s="270">
        <v>1513818115</v>
      </c>
      <c r="B35" s="276" t="s">
        <v>323</v>
      </c>
      <c r="C35" s="119" t="s">
        <v>267</v>
      </c>
      <c r="D35" s="271" t="s">
        <v>325</v>
      </c>
      <c r="E35" s="119" t="s">
        <v>326</v>
      </c>
      <c r="F35" s="271" t="s">
        <v>325</v>
      </c>
      <c r="G35" s="120">
        <v>33.24</v>
      </c>
      <c r="H35" s="120">
        <v>0</v>
      </c>
      <c r="I35" s="120">
        <v>33.24</v>
      </c>
      <c r="J35" s="121">
        <v>41445</v>
      </c>
      <c r="K35" s="121">
        <v>41443</v>
      </c>
      <c r="L35" s="272">
        <v>32</v>
      </c>
      <c r="M35" s="272" t="s">
        <v>327</v>
      </c>
      <c r="N35" s="272" t="s">
        <v>268</v>
      </c>
      <c r="O35" s="122">
        <v>205</v>
      </c>
      <c r="R35" s="120">
        <v>33.24</v>
      </c>
      <c r="S35" s="35"/>
      <c r="T35" s="35"/>
      <c r="U35" s="277" t="s">
        <v>325</v>
      </c>
      <c r="V35" s="271" t="s">
        <v>325</v>
      </c>
      <c r="W35" s="35"/>
      <c r="X35" s="120">
        <v>0</v>
      </c>
      <c r="Z35" s="35"/>
    </row>
    <row r="36" spans="1:26" ht="13.5" customHeight="1">
      <c r="A36" s="270">
        <v>1608811106</v>
      </c>
      <c r="B36" s="276" t="s">
        <v>323</v>
      </c>
      <c r="C36" s="119" t="s">
        <v>337</v>
      </c>
      <c r="D36" s="271" t="s">
        <v>325</v>
      </c>
      <c r="E36" s="119" t="s">
        <v>332</v>
      </c>
      <c r="F36" s="271" t="s">
        <v>325</v>
      </c>
      <c r="G36" s="120">
        <v>699.42</v>
      </c>
      <c r="H36" s="120">
        <v>0</v>
      </c>
      <c r="I36" s="120">
        <v>699.42</v>
      </c>
      <c r="J36" s="121">
        <v>41438</v>
      </c>
      <c r="K36" s="121">
        <v>41435</v>
      </c>
      <c r="L36" s="272">
        <v>32</v>
      </c>
      <c r="M36" s="272" t="s">
        <v>327</v>
      </c>
      <c r="N36" s="272" t="s">
        <v>111</v>
      </c>
      <c r="O36" s="122">
        <v>5098</v>
      </c>
      <c r="P36" s="122">
        <v>57.3</v>
      </c>
      <c r="Q36" s="122">
        <v>0.11584678592204771</v>
      </c>
      <c r="R36" s="120">
        <v>699.42</v>
      </c>
      <c r="S36" s="35"/>
      <c r="T36" s="35"/>
      <c r="U36" s="277" t="s">
        <v>325</v>
      </c>
      <c r="V36" s="271" t="s">
        <v>325</v>
      </c>
      <c r="W36" s="35"/>
      <c r="X36" s="120">
        <v>0</v>
      </c>
      <c r="Z36" s="35"/>
    </row>
    <row r="37" spans="1:26" ht="13.5" customHeight="1">
      <c r="A37" s="270">
        <v>1653819107</v>
      </c>
      <c r="B37" s="276" t="s">
        <v>323</v>
      </c>
      <c r="C37" s="119" t="s">
        <v>270</v>
      </c>
      <c r="D37" s="271" t="s">
        <v>325</v>
      </c>
      <c r="E37" s="119" t="s">
        <v>326</v>
      </c>
      <c r="F37" s="271" t="s">
        <v>325</v>
      </c>
      <c r="G37" s="120">
        <v>75.62</v>
      </c>
      <c r="H37" s="120">
        <v>0</v>
      </c>
      <c r="I37" s="120">
        <v>75.62</v>
      </c>
      <c r="J37" s="121">
        <v>41445</v>
      </c>
      <c r="K37" s="121">
        <v>41443</v>
      </c>
      <c r="L37" s="272">
        <v>32</v>
      </c>
      <c r="M37" s="272" t="s">
        <v>327</v>
      </c>
      <c r="N37" s="272" t="s">
        <v>271</v>
      </c>
      <c r="O37" s="122">
        <v>892</v>
      </c>
      <c r="R37" s="120">
        <v>75.62</v>
      </c>
      <c r="S37" s="35"/>
      <c r="T37" s="35"/>
      <c r="U37" s="277" t="s">
        <v>325</v>
      </c>
      <c r="V37" s="271" t="s">
        <v>325</v>
      </c>
      <c r="W37" s="35"/>
      <c r="X37" s="120">
        <v>0</v>
      </c>
      <c r="Z37" s="35"/>
    </row>
    <row r="38" spans="1:26" ht="13.5" customHeight="1">
      <c r="A38" s="270">
        <v>1833820108</v>
      </c>
      <c r="B38" s="276" t="s">
        <v>323</v>
      </c>
      <c r="C38" s="119" t="s">
        <v>272</v>
      </c>
      <c r="D38" s="271" t="s">
        <v>325</v>
      </c>
      <c r="E38" s="119" t="s">
        <v>326</v>
      </c>
      <c r="F38" s="271" t="s">
        <v>325</v>
      </c>
      <c r="G38" s="120">
        <v>76.62</v>
      </c>
      <c r="H38" s="120">
        <v>0</v>
      </c>
      <c r="I38" s="120">
        <v>76.62</v>
      </c>
      <c r="J38" s="121">
        <v>41445</v>
      </c>
      <c r="K38" s="121">
        <v>41443</v>
      </c>
      <c r="L38" s="272">
        <v>32</v>
      </c>
      <c r="M38" s="272" t="s">
        <v>327</v>
      </c>
      <c r="N38" s="272" t="s">
        <v>273</v>
      </c>
      <c r="O38" s="122">
        <v>908</v>
      </c>
      <c r="R38" s="120">
        <v>76.62</v>
      </c>
      <c r="S38" s="35"/>
      <c r="T38" s="35"/>
      <c r="U38" s="277" t="s">
        <v>325</v>
      </c>
      <c r="V38" s="271" t="s">
        <v>325</v>
      </c>
      <c r="W38" s="35"/>
      <c r="X38" s="120">
        <v>0</v>
      </c>
      <c r="Z38" s="35"/>
    </row>
    <row r="39" spans="1:26" ht="13.5" customHeight="1">
      <c r="A39" s="270">
        <v>1851009009</v>
      </c>
      <c r="B39" s="276" t="s">
        <v>323</v>
      </c>
      <c r="C39" s="119" t="s">
        <v>274</v>
      </c>
      <c r="D39" s="271" t="s">
        <v>325</v>
      </c>
      <c r="E39" s="119" t="s">
        <v>326</v>
      </c>
      <c r="F39" s="271" t="s">
        <v>325</v>
      </c>
      <c r="G39" s="120">
        <v>48.61</v>
      </c>
      <c r="H39" s="120">
        <v>0</v>
      </c>
      <c r="I39" s="120">
        <v>48.61</v>
      </c>
      <c r="J39" s="121">
        <v>41445</v>
      </c>
      <c r="K39" s="121">
        <v>41443</v>
      </c>
      <c r="L39" s="272">
        <v>32</v>
      </c>
      <c r="M39" s="272" t="s">
        <v>327</v>
      </c>
      <c r="N39" s="272" t="s">
        <v>275</v>
      </c>
      <c r="O39" s="122">
        <v>454</v>
      </c>
      <c r="R39" s="120">
        <v>48.61</v>
      </c>
      <c r="S39" s="35"/>
      <c r="T39" s="35"/>
      <c r="U39" s="277" t="s">
        <v>325</v>
      </c>
      <c r="V39" s="271" t="s">
        <v>325</v>
      </c>
      <c r="W39" s="35"/>
      <c r="X39" s="120">
        <v>0</v>
      </c>
      <c r="Z39" s="35"/>
    </row>
    <row r="40" spans="1:26" ht="13.5" customHeight="1">
      <c r="A40" s="270">
        <v>1933810131</v>
      </c>
      <c r="B40" s="276" t="s">
        <v>323</v>
      </c>
      <c r="C40" s="119" t="s">
        <v>276</v>
      </c>
      <c r="D40" s="271" t="s">
        <v>325</v>
      </c>
      <c r="E40" s="119" t="s">
        <v>332</v>
      </c>
      <c r="F40" s="119" t="s">
        <v>277</v>
      </c>
      <c r="G40" s="120">
        <v>372.91</v>
      </c>
      <c r="H40" s="120">
        <v>0</v>
      </c>
      <c r="I40" s="120">
        <v>372.91</v>
      </c>
      <c r="J40" s="121">
        <v>41445</v>
      </c>
      <c r="K40" s="121">
        <v>41442</v>
      </c>
      <c r="L40" s="272">
        <v>31</v>
      </c>
      <c r="M40" s="272" t="s">
        <v>327</v>
      </c>
      <c r="N40" s="272" t="s">
        <v>278</v>
      </c>
      <c r="O40" s="122">
        <v>10186</v>
      </c>
      <c r="P40" s="122">
        <v>18.8</v>
      </c>
      <c r="Q40" s="122">
        <v>0.7282372454815832</v>
      </c>
      <c r="R40" s="120">
        <v>343.59</v>
      </c>
      <c r="S40" s="121">
        <v>41443</v>
      </c>
      <c r="T40" s="122">
        <v>32</v>
      </c>
      <c r="U40" s="272" t="s">
        <v>327</v>
      </c>
      <c r="V40" s="119" t="s">
        <v>279</v>
      </c>
      <c r="W40" s="122">
        <v>8</v>
      </c>
      <c r="X40" s="120">
        <v>29.32</v>
      </c>
      <c r="Z40" s="35"/>
    </row>
    <row r="41" spans="1:26" ht="13.5" customHeight="1">
      <c r="A41" s="270">
        <v>2133819102</v>
      </c>
      <c r="B41" s="276" t="s">
        <v>323</v>
      </c>
      <c r="C41" s="119" t="s">
        <v>280</v>
      </c>
      <c r="D41" s="271" t="s">
        <v>325</v>
      </c>
      <c r="E41" s="119" t="s">
        <v>332</v>
      </c>
      <c r="F41" s="271" t="s">
        <v>325</v>
      </c>
      <c r="G41" s="120">
        <v>257.16000000000003</v>
      </c>
      <c r="H41" s="120">
        <v>0</v>
      </c>
      <c r="I41" s="120">
        <v>257.16000000000003</v>
      </c>
      <c r="J41" s="121">
        <v>41445</v>
      </c>
      <c r="K41" s="121">
        <v>41442</v>
      </c>
      <c r="L41" s="272">
        <v>31</v>
      </c>
      <c r="M41" s="272" t="s">
        <v>327</v>
      </c>
      <c r="N41" s="272" t="s">
        <v>112</v>
      </c>
      <c r="O41" s="122">
        <v>882</v>
      </c>
      <c r="P41" s="122">
        <v>18.8</v>
      </c>
      <c r="Q41" s="122">
        <v>6.30576527110501E-2</v>
      </c>
      <c r="R41" s="120">
        <v>257.16000000000003</v>
      </c>
      <c r="S41" s="35"/>
      <c r="T41" s="35"/>
      <c r="U41" s="277" t="s">
        <v>325</v>
      </c>
      <c r="V41" s="271" t="s">
        <v>325</v>
      </c>
      <c r="W41" s="35"/>
      <c r="X41" s="120">
        <v>0</v>
      </c>
      <c r="Z41" s="35"/>
    </row>
    <row r="42" spans="1:26" ht="13.5" customHeight="1">
      <c r="A42" s="270">
        <v>2133821120</v>
      </c>
      <c r="B42" s="276" t="s">
        <v>323</v>
      </c>
      <c r="C42" s="119" t="s">
        <v>194</v>
      </c>
      <c r="D42" s="271" t="s">
        <v>325</v>
      </c>
      <c r="E42" s="119" t="s">
        <v>326</v>
      </c>
      <c r="F42" s="271" t="s">
        <v>325</v>
      </c>
      <c r="G42" s="120">
        <v>36.479999999999997</v>
      </c>
      <c r="H42" s="120">
        <v>0</v>
      </c>
      <c r="I42" s="120">
        <v>36.479999999999997</v>
      </c>
      <c r="J42" s="121">
        <v>41445</v>
      </c>
      <c r="K42" s="121">
        <v>41443</v>
      </c>
      <c r="L42" s="272">
        <v>32</v>
      </c>
      <c r="M42" s="272" t="s">
        <v>327</v>
      </c>
      <c r="N42" s="272" t="s">
        <v>195</v>
      </c>
      <c r="O42" s="122">
        <v>257</v>
      </c>
      <c r="R42" s="120">
        <v>36.479999999999997</v>
      </c>
      <c r="S42" s="35"/>
      <c r="T42" s="35"/>
      <c r="U42" s="277" t="s">
        <v>325</v>
      </c>
      <c r="V42" s="271" t="s">
        <v>325</v>
      </c>
      <c r="W42" s="35"/>
      <c r="X42" s="120">
        <v>0</v>
      </c>
      <c r="Z42" s="35"/>
    </row>
    <row r="43" spans="1:26" ht="13.5" customHeight="1">
      <c r="A43" s="270">
        <v>2137454018</v>
      </c>
      <c r="B43" s="276" t="s">
        <v>323</v>
      </c>
      <c r="C43" s="119" t="s">
        <v>196</v>
      </c>
      <c r="D43" s="271" t="s">
        <v>325</v>
      </c>
      <c r="E43" s="119" t="s">
        <v>255</v>
      </c>
      <c r="F43" s="271" t="s">
        <v>325</v>
      </c>
      <c r="G43" s="120">
        <v>21.2</v>
      </c>
      <c r="H43" s="120">
        <v>0</v>
      </c>
      <c r="I43" s="120">
        <v>21.2</v>
      </c>
      <c r="J43" s="121">
        <v>41445</v>
      </c>
      <c r="K43" s="121">
        <v>41443</v>
      </c>
      <c r="L43" s="272">
        <v>32</v>
      </c>
      <c r="M43" s="272" t="s">
        <v>327</v>
      </c>
      <c r="N43" s="272" t="s">
        <v>197</v>
      </c>
      <c r="O43" s="122">
        <v>4</v>
      </c>
      <c r="R43" s="120">
        <v>21.2</v>
      </c>
      <c r="S43" s="35"/>
      <c r="T43" s="35"/>
      <c r="U43" s="277" t="s">
        <v>325</v>
      </c>
      <c r="V43" s="271" t="s">
        <v>325</v>
      </c>
      <c r="W43" s="35"/>
      <c r="X43" s="120">
        <v>0</v>
      </c>
      <c r="Z43" s="35"/>
    </row>
    <row r="44" spans="1:26" ht="13.5" customHeight="1">
      <c r="A44" s="270">
        <v>2217686007</v>
      </c>
      <c r="B44" s="276" t="s">
        <v>323</v>
      </c>
      <c r="C44" s="119" t="s">
        <v>198</v>
      </c>
      <c r="D44" s="271" t="s">
        <v>325</v>
      </c>
      <c r="E44" s="119" t="s">
        <v>255</v>
      </c>
      <c r="F44" s="271" t="s">
        <v>325</v>
      </c>
      <c r="G44" s="120">
        <v>63.23</v>
      </c>
      <c r="H44" s="120">
        <v>0</v>
      </c>
      <c r="I44" s="120">
        <v>63.23</v>
      </c>
      <c r="J44" s="121">
        <v>41445</v>
      </c>
      <c r="K44" s="121">
        <v>41444</v>
      </c>
      <c r="L44" s="272">
        <v>33</v>
      </c>
      <c r="M44" s="272" t="s">
        <v>327</v>
      </c>
      <c r="N44" s="272" t="s">
        <v>199</v>
      </c>
      <c r="O44" s="122">
        <v>287</v>
      </c>
      <c r="R44" s="120">
        <v>63.23</v>
      </c>
      <c r="S44" s="35"/>
      <c r="T44" s="35"/>
      <c r="U44" s="277" t="s">
        <v>325</v>
      </c>
      <c r="V44" s="271" t="s">
        <v>325</v>
      </c>
      <c r="W44" s="35"/>
      <c r="X44" s="120">
        <v>0</v>
      </c>
      <c r="Z44" s="35"/>
    </row>
    <row r="45" spans="1:26" ht="13.5" customHeight="1">
      <c r="A45" s="270">
        <v>2480127108</v>
      </c>
      <c r="B45" s="276" t="s">
        <v>323</v>
      </c>
      <c r="C45" s="119" t="s">
        <v>200</v>
      </c>
      <c r="D45" s="271" t="s">
        <v>325</v>
      </c>
      <c r="E45" s="119" t="s">
        <v>201</v>
      </c>
      <c r="F45" s="271" t="s">
        <v>325</v>
      </c>
      <c r="G45" s="120">
        <v>89.27</v>
      </c>
      <c r="H45" s="120">
        <v>44.85</v>
      </c>
      <c r="I45" s="120">
        <v>44.42</v>
      </c>
      <c r="J45" s="121">
        <v>41428</v>
      </c>
      <c r="K45" s="121">
        <v>41428</v>
      </c>
      <c r="L45" s="272">
        <v>33</v>
      </c>
      <c r="M45" s="272" t="s">
        <v>327</v>
      </c>
      <c r="N45" s="277" t="s">
        <v>325</v>
      </c>
      <c r="O45" s="122">
        <v>332</v>
      </c>
      <c r="R45" s="120">
        <v>44.42</v>
      </c>
      <c r="S45" s="35"/>
      <c r="T45" s="35"/>
      <c r="U45" s="277" t="s">
        <v>325</v>
      </c>
      <c r="V45" s="271" t="s">
        <v>325</v>
      </c>
      <c r="W45" s="35"/>
      <c r="X45" s="120">
        <v>0</v>
      </c>
      <c r="Z45" s="35"/>
    </row>
    <row r="46" spans="1:26" ht="13.5" customHeight="1">
      <c r="A46" s="270">
        <v>2533809113</v>
      </c>
      <c r="B46" s="276" t="s">
        <v>323</v>
      </c>
      <c r="C46" s="119" t="s">
        <v>202</v>
      </c>
      <c r="D46" s="271" t="s">
        <v>325</v>
      </c>
      <c r="E46" s="119" t="s">
        <v>326</v>
      </c>
      <c r="F46" s="119" t="s">
        <v>277</v>
      </c>
      <c r="G46" s="120">
        <v>92.05</v>
      </c>
      <c r="H46" s="120">
        <v>0</v>
      </c>
      <c r="I46" s="120">
        <v>92.05</v>
      </c>
      <c r="J46" s="121">
        <v>41445</v>
      </c>
      <c r="K46" s="121">
        <v>41443</v>
      </c>
      <c r="L46" s="272">
        <v>32</v>
      </c>
      <c r="M46" s="272" t="s">
        <v>327</v>
      </c>
      <c r="N46" s="272" t="s">
        <v>116</v>
      </c>
      <c r="O46" s="122">
        <v>751</v>
      </c>
      <c r="R46" s="120">
        <v>66.95</v>
      </c>
      <c r="S46" s="121">
        <v>41443</v>
      </c>
      <c r="T46" s="122">
        <v>32</v>
      </c>
      <c r="U46" s="272" t="s">
        <v>327</v>
      </c>
      <c r="V46" s="119" t="s">
        <v>204</v>
      </c>
      <c r="W46" s="122">
        <v>2</v>
      </c>
      <c r="X46" s="120">
        <v>25.1</v>
      </c>
      <c r="Z46" s="35"/>
    </row>
    <row r="47" spans="1:26" ht="13.5" customHeight="1">
      <c r="A47" s="270">
        <v>2693810107</v>
      </c>
      <c r="B47" s="276" t="s">
        <v>323</v>
      </c>
      <c r="C47" s="119" t="s">
        <v>205</v>
      </c>
      <c r="D47" s="271" t="s">
        <v>325</v>
      </c>
      <c r="E47" s="119" t="s">
        <v>332</v>
      </c>
      <c r="F47" s="271" t="s">
        <v>325</v>
      </c>
      <c r="G47" s="120">
        <v>340.57</v>
      </c>
      <c r="H47" s="120">
        <v>0</v>
      </c>
      <c r="I47" s="120">
        <v>340.57</v>
      </c>
      <c r="J47" s="121">
        <v>41423</v>
      </c>
      <c r="K47" s="121">
        <v>41411</v>
      </c>
      <c r="L47" s="272">
        <v>31</v>
      </c>
      <c r="M47" s="272" t="s">
        <v>327</v>
      </c>
      <c r="N47" s="272" t="s">
        <v>206</v>
      </c>
      <c r="O47" s="122">
        <v>840</v>
      </c>
      <c r="P47" s="122">
        <v>26.8</v>
      </c>
      <c r="Q47" s="122">
        <v>4.212806933076553E-2</v>
      </c>
      <c r="R47" s="120">
        <v>340.57</v>
      </c>
      <c r="S47" s="35"/>
      <c r="T47" s="35"/>
      <c r="U47" s="277" t="s">
        <v>325</v>
      </c>
      <c r="V47" s="271" t="s">
        <v>325</v>
      </c>
      <c r="W47" s="35"/>
      <c r="X47" s="120">
        <v>0</v>
      </c>
      <c r="Z47" s="35"/>
    </row>
    <row r="48" spans="1:26" ht="13.5" customHeight="1">
      <c r="A48" s="270">
        <v>2703112003</v>
      </c>
      <c r="B48" s="276" t="s">
        <v>323</v>
      </c>
      <c r="C48" s="119" t="s">
        <v>207</v>
      </c>
      <c r="D48" s="271" t="s">
        <v>325</v>
      </c>
      <c r="E48" s="119" t="s">
        <v>332</v>
      </c>
      <c r="F48" s="271" t="s">
        <v>325</v>
      </c>
      <c r="G48" s="120">
        <v>867.29</v>
      </c>
      <c r="H48" s="120">
        <v>0</v>
      </c>
      <c r="I48" s="120">
        <v>867.29</v>
      </c>
      <c r="J48" s="121">
        <v>41438</v>
      </c>
      <c r="K48" s="121">
        <v>41435</v>
      </c>
      <c r="L48" s="272">
        <v>32</v>
      </c>
      <c r="M48" s="272" t="s">
        <v>327</v>
      </c>
      <c r="N48" s="272" t="s">
        <v>208</v>
      </c>
      <c r="O48" s="122">
        <v>2771</v>
      </c>
      <c r="P48" s="122">
        <v>75.400000000000006</v>
      </c>
      <c r="Q48" s="122">
        <v>4.7852425950486291E-2</v>
      </c>
      <c r="R48" s="120">
        <v>867.29</v>
      </c>
      <c r="S48" s="35"/>
      <c r="T48" s="35"/>
      <c r="U48" s="277" t="s">
        <v>325</v>
      </c>
      <c r="V48" s="271" t="s">
        <v>325</v>
      </c>
      <c r="W48" s="35"/>
      <c r="X48" s="120">
        <v>0</v>
      </c>
      <c r="Z48" s="35"/>
    </row>
    <row r="49" spans="1:26" ht="13.5" customHeight="1">
      <c r="A49" s="270">
        <v>2773821106</v>
      </c>
      <c r="B49" s="276" t="s">
        <v>323</v>
      </c>
      <c r="C49" s="119" t="s">
        <v>209</v>
      </c>
      <c r="D49" s="271" t="s">
        <v>325</v>
      </c>
      <c r="E49" s="119" t="s">
        <v>255</v>
      </c>
      <c r="F49" s="271" t="s">
        <v>325</v>
      </c>
      <c r="G49" s="120">
        <v>20.62</v>
      </c>
      <c r="H49" s="120">
        <v>0</v>
      </c>
      <c r="I49" s="120">
        <v>20.62</v>
      </c>
      <c r="J49" s="121">
        <v>41445</v>
      </c>
      <c r="K49" s="121">
        <v>41444</v>
      </c>
      <c r="L49" s="272">
        <v>33</v>
      </c>
      <c r="M49" s="272" t="s">
        <v>327</v>
      </c>
      <c r="N49" s="272" t="s">
        <v>210</v>
      </c>
      <c r="O49" s="122">
        <v>0</v>
      </c>
      <c r="R49" s="120">
        <v>20.62</v>
      </c>
      <c r="S49" s="35"/>
      <c r="T49" s="35"/>
      <c r="U49" s="277" t="s">
        <v>325</v>
      </c>
      <c r="V49" s="271" t="s">
        <v>325</v>
      </c>
      <c r="W49" s="35"/>
      <c r="X49" s="120">
        <v>0</v>
      </c>
      <c r="Z49" s="35"/>
    </row>
    <row r="50" spans="1:26" ht="13.5" customHeight="1">
      <c r="A50" s="270">
        <v>2856106004</v>
      </c>
      <c r="B50" s="276" t="s">
        <v>323</v>
      </c>
      <c r="C50" s="119" t="s">
        <v>211</v>
      </c>
      <c r="D50" s="271" t="s">
        <v>325</v>
      </c>
      <c r="E50" s="271" t="s">
        <v>325</v>
      </c>
      <c r="F50" s="119" t="s">
        <v>335</v>
      </c>
      <c r="G50" s="120">
        <v>24.81</v>
      </c>
      <c r="H50" s="120">
        <v>0</v>
      </c>
      <c r="I50" s="120">
        <v>24.81</v>
      </c>
      <c r="J50" s="121">
        <v>41438</v>
      </c>
      <c r="L50" s="125"/>
      <c r="M50" s="277" t="s">
        <v>325</v>
      </c>
      <c r="N50" s="277" t="s">
        <v>325</v>
      </c>
      <c r="O50" s="35"/>
      <c r="R50" s="120">
        <v>0</v>
      </c>
      <c r="S50" s="121">
        <v>41437</v>
      </c>
      <c r="T50" s="122">
        <v>34</v>
      </c>
      <c r="U50" s="272" t="s">
        <v>327</v>
      </c>
      <c r="V50" s="119" t="s">
        <v>212</v>
      </c>
      <c r="W50" s="122">
        <v>6</v>
      </c>
      <c r="X50" s="120">
        <v>24.81</v>
      </c>
      <c r="Z50" s="35"/>
    </row>
    <row r="51" spans="1:26" ht="13.5" customHeight="1">
      <c r="A51" s="270">
        <v>2860127100</v>
      </c>
      <c r="B51" s="276" t="s">
        <v>323</v>
      </c>
      <c r="C51" s="119" t="s">
        <v>213</v>
      </c>
      <c r="D51" s="271" t="s">
        <v>325</v>
      </c>
      <c r="E51" s="119" t="s">
        <v>201</v>
      </c>
      <c r="F51" s="271" t="s">
        <v>325</v>
      </c>
      <c r="G51" s="120">
        <v>110.13</v>
      </c>
      <c r="H51" s="120">
        <v>55.27</v>
      </c>
      <c r="I51" s="120">
        <v>54.86</v>
      </c>
      <c r="J51" s="121">
        <v>41428</v>
      </c>
      <c r="K51" s="121">
        <v>41428</v>
      </c>
      <c r="L51" s="272">
        <v>33</v>
      </c>
      <c r="M51" s="272" t="s">
        <v>327</v>
      </c>
      <c r="N51" s="277" t="s">
        <v>325</v>
      </c>
      <c r="O51" s="122">
        <v>312</v>
      </c>
      <c r="R51" s="120">
        <v>54.86</v>
      </c>
      <c r="S51" s="35"/>
      <c r="T51" s="35"/>
      <c r="U51" s="277" t="s">
        <v>325</v>
      </c>
      <c r="V51" s="271" t="s">
        <v>325</v>
      </c>
      <c r="W51" s="35"/>
      <c r="X51" s="120">
        <v>0</v>
      </c>
      <c r="Z51" s="35"/>
    </row>
    <row r="52" spans="1:26" ht="13.5" customHeight="1">
      <c r="A52" s="270">
        <v>3040127109</v>
      </c>
      <c r="B52" s="276" t="s">
        <v>323</v>
      </c>
      <c r="C52" s="119" t="s">
        <v>214</v>
      </c>
      <c r="D52" s="271" t="s">
        <v>325</v>
      </c>
      <c r="E52" s="119" t="s">
        <v>201</v>
      </c>
      <c r="F52" s="271" t="s">
        <v>325</v>
      </c>
      <c r="G52" s="120">
        <v>113.53</v>
      </c>
      <c r="H52" s="120">
        <v>56.98</v>
      </c>
      <c r="I52" s="120">
        <v>56.55</v>
      </c>
      <c r="J52" s="121">
        <v>41428</v>
      </c>
      <c r="K52" s="121">
        <v>41428</v>
      </c>
      <c r="L52" s="272">
        <v>33</v>
      </c>
      <c r="M52" s="272" t="s">
        <v>327</v>
      </c>
      <c r="N52" s="277" t="s">
        <v>325</v>
      </c>
      <c r="O52" s="122">
        <v>326</v>
      </c>
      <c r="R52" s="120">
        <v>56.55</v>
      </c>
      <c r="S52" s="35"/>
      <c r="T52" s="35"/>
      <c r="U52" s="277" t="s">
        <v>325</v>
      </c>
      <c r="V52" s="271" t="s">
        <v>325</v>
      </c>
      <c r="W52" s="35"/>
      <c r="X52" s="120">
        <v>0</v>
      </c>
      <c r="Z52" s="35"/>
    </row>
    <row r="53" spans="1:26" ht="13.5" customHeight="1">
      <c r="A53" s="270">
        <v>3128810107</v>
      </c>
      <c r="B53" s="276" t="s">
        <v>323</v>
      </c>
      <c r="C53" s="119" t="s">
        <v>215</v>
      </c>
      <c r="D53" s="271" t="s">
        <v>325</v>
      </c>
      <c r="E53" s="119" t="s">
        <v>326</v>
      </c>
      <c r="F53" s="271" t="s">
        <v>325</v>
      </c>
      <c r="G53" s="120">
        <v>20.93</v>
      </c>
      <c r="H53" s="120">
        <v>0</v>
      </c>
      <c r="I53" s="120">
        <v>20.93</v>
      </c>
      <c r="J53" s="121">
        <v>41438</v>
      </c>
      <c r="K53" s="121">
        <v>41437</v>
      </c>
      <c r="L53" s="272">
        <v>34</v>
      </c>
      <c r="M53" s="272" t="s">
        <v>327</v>
      </c>
      <c r="N53" s="272" t="s">
        <v>216</v>
      </c>
      <c r="O53" s="122">
        <v>5</v>
      </c>
      <c r="R53" s="120">
        <v>20.93</v>
      </c>
      <c r="S53" s="35"/>
      <c r="T53" s="35"/>
      <c r="U53" s="277" t="s">
        <v>325</v>
      </c>
      <c r="V53" s="271" t="s">
        <v>325</v>
      </c>
      <c r="W53" s="35"/>
      <c r="X53" s="120">
        <v>0</v>
      </c>
      <c r="Z53" s="35"/>
    </row>
    <row r="54" spans="1:26" ht="13.5" customHeight="1">
      <c r="A54" s="270">
        <v>3195056004</v>
      </c>
      <c r="B54" s="276" t="s">
        <v>323</v>
      </c>
      <c r="C54" s="119" t="s">
        <v>217</v>
      </c>
      <c r="D54" s="271" t="s">
        <v>325</v>
      </c>
      <c r="E54" s="119" t="s">
        <v>326</v>
      </c>
      <c r="F54" s="271" t="s">
        <v>325</v>
      </c>
      <c r="G54" s="120">
        <v>21.31</v>
      </c>
      <c r="H54" s="120">
        <v>0</v>
      </c>
      <c r="I54" s="120">
        <v>21.31</v>
      </c>
      <c r="J54" s="121">
        <v>41445</v>
      </c>
      <c r="K54" s="121">
        <v>41443</v>
      </c>
      <c r="L54" s="272">
        <v>32</v>
      </c>
      <c r="M54" s="272" t="s">
        <v>327</v>
      </c>
      <c r="N54" s="272" t="s">
        <v>218</v>
      </c>
      <c r="O54" s="122">
        <v>11</v>
      </c>
      <c r="R54" s="120">
        <v>21.31</v>
      </c>
      <c r="S54" s="35"/>
      <c r="T54" s="35"/>
      <c r="U54" s="277" t="s">
        <v>325</v>
      </c>
      <c r="V54" s="271" t="s">
        <v>325</v>
      </c>
      <c r="W54" s="35"/>
      <c r="X54" s="120">
        <v>0</v>
      </c>
      <c r="Z54" s="35"/>
    </row>
    <row r="55" spans="1:26" ht="13.5" customHeight="1">
      <c r="A55" s="270">
        <v>3273812135</v>
      </c>
      <c r="B55" s="276" t="s">
        <v>323</v>
      </c>
      <c r="C55" s="119" t="s">
        <v>219</v>
      </c>
      <c r="D55" s="271" t="s">
        <v>325</v>
      </c>
      <c r="E55" s="119" t="s">
        <v>326</v>
      </c>
      <c r="F55" s="119" t="s">
        <v>277</v>
      </c>
      <c r="G55" s="120">
        <v>97.2</v>
      </c>
      <c r="H55" s="120">
        <v>0</v>
      </c>
      <c r="I55" s="120">
        <v>97.2</v>
      </c>
      <c r="J55" s="121">
        <v>41445</v>
      </c>
      <c r="K55" s="121">
        <v>41442</v>
      </c>
      <c r="L55" s="272">
        <v>31</v>
      </c>
      <c r="M55" s="272" t="s">
        <v>327</v>
      </c>
      <c r="N55" s="272" t="s">
        <v>125</v>
      </c>
      <c r="O55" s="122">
        <v>718</v>
      </c>
      <c r="R55" s="120">
        <v>64.88</v>
      </c>
      <c r="S55" s="121">
        <v>41443</v>
      </c>
      <c r="T55" s="122">
        <v>32</v>
      </c>
      <c r="U55" s="272" t="s">
        <v>327</v>
      </c>
      <c r="V55" s="119" t="s">
        <v>221</v>
      </c>
      <c r="W55" s="122">
        <v>12</v>
      </c>
      <c r="X55" s="120">
        <v>32.32</v>
      </c>
      <c r="Z55" s="35"/>
    </row>
    <row r="56" spans="1:26" ht="13.5" customHeight="1">
      <c r="A56" s="270">
        <v>3293820115</v>
      </c>
      <c r="B56" s="276" t="s">
        <v>323</v>
      </c>
      <c r="C56" s="119" t="s">
        <v>222</v>
      </c>
      <c r="D56" s="271" t="s">
        <v>325</v>
      </c>
      <c r="E56" s="271" t="s">
        <v>325</v>
      </c>
      <c r="F56" s="119" t="s">
        <v>335</v>
      </c>
      <c r="G56" s="120">
        <v>37.71</v>
      </c>
      <c r="H56" s="120">
        <v>0</v>
      </c>
      <c r="I56" s="120">
        <v>37.71</v>
      </c>
      <c r="J56" s="121">
        <v>41445</v>
      </c>
      <c r="L56" s="125"/>
      <c r="M56" s="277" t="s">
        <v>325</v>
      </c>
      <c r="N56" s="277" t="s">
        <v>325</v>
      </c>
      <c r="O56" s="35"/>
      <c r="R56" s="120">
        <v>0</v>
      </c>
      <c r="S56" s="121">
        <v>41443</v>
      </c>
      <c r="T56" s="122">
        <v>32</v>
      </c>
      <c r="U56" s="272" t="s">
        <v>327</v>
      </c>
      <c r="V56" s="119" t="s">
        <v>223</v>
      </c>
      <c r="W56" s="122">
        <v>46</v>
      </c>
      <c r="X56" s="120">
        <v>37.71</v>
      </c>
      <c r="Z56" s="35"/>
    </row>
    <row r="57" spans="1:26" ht="13.5" customHeight="1">
      <c r="A57" s="270">
        <v>3448808118</v>
      </c>
      <c r="B57" s="276" t="s">
        <v>323</v>
      </c>
      <c r="C57" s="119" t="s">
        <v>224</v>
      </c>
      <c r="D57" s="271" t="s">
        <v>325</v>
      </c>
      <c r="E57" s="119" t="s">
        <v>326</v>
      </c>
      <c r="F57" s="271" t="s">
        <v>325</v>
      </c>
      <c r="G57" s="120">
        <v>66.03</v>
      </c>
      <c r="H57" s="120">
        <v>66.03</v>
      </c>
      <c r="I57" s="120">
        <v>0</v>
      </c>
      <c r="J57" s="121">
        <v>41439</v>
      </c>
      <c r="L57" s="125"/>
      <c r="M57" s="277" t="s">
        <v>325</v>
      </c>
      <c r="N57" s="272" t="s">
        <v>126</v>
      </c>
      <c r="O57" s="35"/>
      <c r="R57" s="120">
        <v>0</v>
      </c>
      <c r="S57" s="35"/>
      <c r="T57" s="35"/>
      <c r="U57" s="277" t="s">
        <v>325</v>
      </c>
      <c r="V57" s="271" t="s">
        <v>325</v>
      </c>
      <c r="W57" s="35"/>
      <c r="X57" s="120">
        <v>0</v>
      </c>
      <c r="Z57" s="35"/>
    </row>
    <row r="58" spans="1:26" ht="13.5" customHeight="1">
      <c r="A58" s="270">
        <v>3632395006</v>
      </c>
      <c r="B58" s="276" t="s">
        <v>323</v>
      </c>
      <c r="C58" s="119" t="s">
        <v>226</v>
      </c>
      <c r="D58" s="271" t="s">
        <v>325</v>
      </c>
      <c r="E58" s="119" t="s">
        <v>326</v>
      </c>
      <c r="F58" s="271" t="s">
        <v>325</v>
      </c>
      <c r="G58" s="120">
        <v>21.23</v>
      </c>
      <c r="H58" s="120">
        <v>0</v>
      </c>
      <c r="I58" s="120">
        <v>21.23</v>
      </c>
      <c r="J58" s="121">
        <v>41438</v>
      </c>
      <c r="K58" s="121">
        <v>41437</v>
      </c>
      <c r="L58" s="272">
        <v>34</v>
      </c>
      <c r="M58" s="272" t="s">
        <v>327</v>
      </c>
      <c r="N58" s="272" t="s">
        <v>227</v>
      </c>
      <c r="O58" s="122">
        <v>10</v>
      </c>
      <c r="R58" s="120">
        <v>21.23</v>
      </c>
      <c r="S58" s="35"/>
      <c r="T58" s="35"/>
      <c r="U58" s="277" t="s">
        <v>325</v>
      </c>
      <c r="V58" s="271" t="s">
        <v>325</v>
      </c>
      <c r="W58" s="35"/>
      <c r="X58" s="120">
        <v>0</v>
      </c>
      <c r="Z58" s="35"/>
    </row>
    <row r="59" spans="1:26" ht="13.5" customHeight="1">
      <c r="A59" s="270">
        <v>3753663109</v>
      </c>
      <c r="B59" s="276" t="s">
        <v>323</v>
      </c>
      <c r="C59" s="119" t="s">
        <v>228</v>
      </c>
      <c r="D59" s="271" t="s">
        <v>325</v>
      </c>
      <c r="E59" s="119" t="s">
        <v>330</v>
      </c>
      <c r="F59" s="271" t="s">
        <v>325</v>
      </c>
      <c r="G59" s="120">
        <v>198.07</v>
      </c>
      <c r="H59" s="120">
        <v>0</v>
      </c>
      <c r="I59" s="120">
        <v>198.07</v>
      </c>
      <c r="J59" s="121">
        <v>41445</v>
      </c>
      <c r="K59" s="121">
        <v>41445</v>
      </c>
      <c r="L59" s="272">
        <v>29</v>
      </c>
      <c r="M59" s="272" t="s">
        <v>327</v>
      </c>
      <c r="N59" s="277" t="s">
        <v>325</v>
      </c>
      <c r="O59" s="122">
        <v>126</v>
      </c>
      <c r="R59" s="120">
        <v>198.07</v>
      </c>
      <c r="S59" s="35"/>
      <c r="T59" s="35"/>
      <c r="U59" s="277" t="s">
        <v>325</v>
      </c>
      <c r="V59" s="271" t="s">
        <v>325</v>
      </c>
      <c r="W59" s="35"/>
      <c r="X59" s="120">
        <v>0</v>
      </c>
      <c r="Z59" s="35"/>
    </row>
    <row r="60" spans="1:26" ht="13.5" customHeight="1">
      <c r="A60" s="270">
        <v>3798043001</v>
      </c>
      <c r="B60" s="276" t="s">
        <v>323</v>
      </c>
      <c r="C60" s="119" t="s">
        <v>229</v>
      </c>
      <c r="D60" s="271" t="s">
        <v>325</v>
      </c>
      <c r="E60" s="119" t="s">
        <v>255</v>
      </c>
      <c r="F60" s="271" t="s">
        <v>325</v>
      </c>
      <c r="G60" s="120">
        <v>43.82</v>
      </c>
      <c r="H60" s="120">
        <v>0</v>
      </c>
      <c r="I60" s="120">
        <v>43.82</v>
      </c>
      <c r="J60" s="121">
        <v>41446</v>
      </c>
      <c r="K60" s="121">
        <v>41444</v>
      </c>
      <c r="L60" s="272">
        <v>29</v>
      </c>
      <c r="M60" s="272" t="s">
        <v>327</v>
      </c>
      <c r="N60" s="272" t="s">
        <v>230</v>
      </c>
      <c r="O60" s="122">
        <v>8</v>
      </c>
      <c r="R60" s="120">
        <v>21.78</v>
      </c>
      <c r="S60" s="35"/>
      <c r="T60" s="35"/>
      <c r="U60" s="277" t="s">
        <v>325</v>
      </c>
      <c r="V60" s="271" t="s">
        <v>325</v>
      </c>
      <c r="W60" s="35"/>
      <c r="X60" s="120">
        <v>0</v>
      </c>
      <c r="Z60" s="35"/>
    </row>
    <row r="61" spans="1:26" ht="13.5" customHeight="1">
      <c r="A61" s="270">
        <v>3908811104</v>
      </c>
      <c r="B61" s="276" t="s">
        <v>323</v>
      </c>
      <c r="C61" s="119" t="s">
        <v>231</v>
      </c>
      <c r="D61" s="271" t="s">
        <v>325</v>
      </c>
      <c r="E61" s="119" t="s">
        <v>326</v>
      </c>
      <c r="F61" s="271" t="s">
        <v>325</v>
      </c>
      <c r="G61" s="120">
        <v>116.25</v>
      </c>
      <c r="H61" s="120">
        <v>0</v>
      </c>
      <c r="I61" s="120">
        <v>116.25</v>
      </c>
      <c r="J61" s="121">
        <v>41438</v>
      </c>
      <c r="K61" s="121">
        <v>41437</v>
      </c>
      <c r="L61" s="272">
        <v>29</v>
      </c>
      <c r="M61" s="272" t="s">
        <v>327</v>
      </c>
      <c r="N61" s="272" t="s">
        <v>232</v>
      </c>
      <c r="O61" s="122">
        <v>1551</v>
      </c>
      <c r="R61" s="120">
        <v>116.25</v>
      </c>
      <c r="S61" s="35"/>
      <c r="T61" s="35"/>
      <c r="U61" s="277" t="s">
        <v>325</v>
      </c>
      <c r="V61" s="271" t="s">
        <v>325</v>
      </c>
      <c r="W61" s="35"/>
      <c r="X61" s="120">
        <v>0</v>
      </c>
      <c r="Z61" s="35"/>
    </row>
    <row r="62" spans="1:26" ht="13.5" customHeight="1">
      <c r="A62" s="270">
        <v>4153807100</v>
      </c>
      <c r="B62" s="276" t="s">
        <v>323</v>
      </c>
      <c r="C62" s="119" t="s">
        <v>233</v>
      </c>
      <c r="D62" s="271" t="s">
        <v>325</v>
      </c>
      <c r="E62" s="119" t="s">
        <v>326</v>
      </c>
      <c r="F62" s="119" t="s">
        <v>277</v>
      </c>
      <c r="G62" s="120">
        <v>63.15</v>
      </c>
      <c r="H62" s="120">
        <v>0</v>
      </c>
      <c r="I62" s="120">
        <v>63.15</v>
      </c>
      <c r="J62" s="121">
        <v>41445</v>
      </c>
      <c r="K62" s="121">
        <v>41443</v>
      </c>
      <c r="L62" s="272">
        <v>32</v>
      </c>
      <c r="M62" s="272" t="s">
        <v>327</v>
      </c>
      <c r="N62" s="272" t="s">
        <v>234</v>
      </c>
      <c r="O62" s="122">
        <v>141</v>
      </c>
      <c r="R62" s="120">
        <v>29.31</v>
      </c>
      <c r="S62" s="121">
        <v>41443</v>
      </c>
      <c r="T62" s="122">
        <v>32</v>
      </c>
      <c r="U62" s="272" t="s">
        <v>327</v>
      </c>
      <c r="V62" s="119" t="s">
        <v>235</v>
      </c>
      <c r="W62" s="122">
        <v>14</v>
      </c>
      <c r="X62" s="120">
        <v>33.840000000000003</v>
      </c>
      <c r="Z62" s="35"/>
    </row>
    <row r="63" spans="1:26" ht="13.5" customHeight="1">
      <c r="A63" s="270">
        <v>4153820112</v>
      </c>
      <c r="B63" s="276" t="s">
        <v>323</v>
      </c>
      <c r="C63" s="119" t="s">
        <v>147</v>
      </c>
      <c r="D63" s="271" t="s">
        <v>325</v>
      </c>
      <c r="E63" s="119" t="s">
        <v>332</v>
      </c>
      <c r="F63" s="271" t="s">
        <v>325</v>
      </c>
      <c r="G63" s="120">
        <v>419.93</v>
      </c>
      <c r="H63" s="120">
        <v>0</v>
      </c>
      <c r="I63" s="120">
        <v>419.93</v>
      </c>
      <c r="J63" s="121">
        <v>41445</v>
      </c>
      <c r="K63" s="121">
        <v>41443</v>
      </c>
      <c r="L63" s="272">
        <v>32</v>
      </c>
      <c r="M63" s="272" t="s">
        <v>327</v>
      </c>
      <c r="N63" s="272" t="s">
        <v>148</v>
      </c>
      <c r="O63" s="122">
        <v>14233</v>
      </c>
      <c r="P63" s="122">
        <v>22.5</v>
      </c>
      <c r="Q63" s="122">
        <v>0.8236689814814816</v>
      </c>
      <c r="R63" s="120">
        <v>419.93</v>
      </c>
      <c r="S63" s="35"/>
      <c r="T63" s="35"/>
      <c r="U63" s="277" t="s">
        <v>325</v>
      </c>
      <c r="V63" s="271" t="s">
        <v>325</v>
      </c>
      <c r="W63" s="35"/>
      <c r="X63" s="120">
        <v>0</v>
      </c>
      <c r="Z63" s="35"/>
    </row>
    <row r="64" spans="1:26" ht="13.5" customHeight="1">
      <c r="A64" s="270">
        <v>4308810115</v>
      </c>
      <c r="B64" s="276" t="s">
        <v>323</v>
      </c>
      <c r="C64" s="119" t="s">
        <v>149</v>
      </c>
      <c r="D64" s="271" t="s">
        <v>325</v>
      </c>
      <c r="E64" s="119" t="s">
        <v>326</v>
      </c>
      <c r="F64" s="271" t="s">
        <v>325</v>
      </c>
      <c r="G64" s="120">
        <v>99.97</v>
      </c>
      <c r="H64" s="120">
        <v>0</v>
      </c>
      <c r="I64" s="120">
        <v>99.97</v>
      </c>
      <c r="J64" s="121">
        <v>41438</v>
      </c>
      <c r="K64" s="121">
        <v>41435</v>
      </c>
      <c r="L64" s="272">
        <v>32</v>
      </c>
      <c r="M64" s="272" t="s">
        <v>327</v>
      </c>
      <c r="N64" s="272" t="s">
        <v>113</v>
      </c>
      <c r="O64" s="122">
        <v>1287</v>
      </c>
      <c r="R64" s="120">
        <v>99.97</v>
      </c>
      <c r="S64" s="35"/>
      <c r="T64" s="35"/>
      <c r="U64" s="277" t="s">
        <v>325</v>
      </c>
      <c r="V64" s="271" t="s">
        <v>325</v>
      </c>
      <c r="W64" s="35"/>
      <c r="X64" s="120">
        <v>0</v>
      </c>
      <c r="Z64" s="35"/>
    </row>
    <row r="65" spans="1:26" ht="13.5" customHeight="1">
      <c r="A65" s="270">
        <v>4399122004</v>
      </c>
      <c r="B65" s="276" t="s">
        <v>323</v>
      </c>
      <c r="C65" s="119" t="s">
        <v>151</v>
      </c>
      <c r="D65" s="271" t="s">
        <v>325</v>
      </c>
      <c r="E65" s="271" t="s">
        <v>325</v>
      </c>
      <c r="F65" s="119" t="s">
        <v>335</v>
      </c>
      <c r="G65" s="120">
        <v>23.77</v>
      </c>
      <c r="H65" s="120">
        <v>0</v>
      </c>
      <c r="I65" s="120">
        <v>23.77</v>
      </c>
      <c r="J65" s="121">
        <v>41445</v>
      </c>
      <c r="L65" s="125"/>
      <c r="M65" s="277" t="s">
        <v>325</v>
      </c>
      <c r="N65" s="277" t="s">
        <v>325</v>
      </c>
      <c r="O65" s="35"/>
      <c r="R65" s="120">
        <v>0</v>
      </c>
      <c r="S65" s="121">
        <v>41443</v>
      </c>
      <c r="T65" s="122">
        <v>32</v>
      </c>
      <c r="U65" s="272" t="s">
        <v>327</v>
      </c>
      <c r="V65" s="119" t="s">
        <v>152</v>
      </c>
      <c r="W65" s="122">
        <v>0</v>
      </c>
      <c r="X65" s="120">
        <v>23.77</v>
      </c>
      <c r="Z65" s="35"/>
    </row>
    <row r="66" spans="1:26" ht="13.5" customHeight="1">
      <c r="A66" s="270">
        <v>4513814101</v>
      </c>
      <c r="B66" s="276" t="s">
        <v>323</v>
      </c>
      <c r="C66" s="119" t="s">
        <v>153</v>
      </c>
      <c r="D66" s="271" t="s">
        <v>325</v>
      </c>
      <c r="E66" s="119" t="s">
        <v>332</v>
      </c>
      <c r="F66" s="119" t="s">
        <v>277</v>
      </c>
      <c r="G66" s="120">
        <v>165.32</v>
      </c>
      <c r="H66" s="120">
        <v>0</v>
      </c>
      <c r="I66" s="120">
        <v>165.32</v>
      </c>
      <c r="J66" s="121">
        <v>41445</v>
      </c>
      <c r="K66" s="121">
        <v>41442</v>
      </c>
      <c r="L66" s="272">
        <v>31</v>
      </c>
      <c r="M66" s="272" t="s">
        <v>327</v>
      </c>
      <c r="N66" s="272" t="s">
        <v>117</v>
      </c>
      <c r="O66" s="122">
        <v>1606</v>
      </c>
      <c r="P66" s="122">
        <v>6.3</v>
      </c>
      <c r="Q66" s="122">
        <v>0.34263526199010069</v>
      </c>
      <c r="R66" s="120">
        <v>133</v>
      </c>
      <c r="S66" s="121">
        <v>41443</v>
      </c>
      <c r="T66" s="122">
        <v>32</v>
      </c>
      <c r="U66" s="272" t="s">
        <v>327</v>
      </c>
      <c r="V66" s="119" t="s">
        <v>155</v>
      </c>
      <c r="W66" s="122">
        <v>12</v>
      </c>
      <c r="X66" s="120">
        <v>32.32</v>
      </c>
      <c r="Z66" s="35"/>
    </row>
    <row r="67" spans="1:26" ht="13.5" customHeight="1">
      <c r="A67" s="270">
        <v>4533881110</v>
      </c>
      <c r="B67" s="276" t="s">
        <v>323</v>
      </c>
      <c r="C67" s="119" t="s">
        <v>156</v>
      </c>
      <c r="D67" s="119" t="s">
        <v>157</v>
      </c>
      <c r="E67" s="119" t="s">
        <v>158</v>
      </c>
      <c r="F67" s="271" t="s">
        <v>325</v>
      </c>
      <c r="G67" s="120">
        <v>27.53</v>
      </c>
      <c r="H67" s="120">
        <v>0</v>
      </c>
      <c r="I67" s="120">
        <v>27.53</v>
      </c>
      <c r="J67" s="121">
        <v>41445</v>
      </c>
      <c r="K67" s="121">
        <v>41445</v>
      </c>
      <c r="L67" s="272">
        <v>29</v>
      </c>
      <c r="M67" s="272" t="s">
        <v>327</v>
      </c>
      <c r="N67" s="277" t="s">
        <v>325</v>
      </c>
      <c r="O67" s="122">
        <v>159</v>
      </c>
      <c r="R67" s="120">
        <v>27.53</v>
      </c>
      <c r="S67" s="35"/>
      <c r="T67" s="35"/>
      <c r="U67" s="277" t="s">
        <v>325</v>
      </c>
      <c r="V67" s="271" t="s">
        <v>325</v>
      </c>
      <c r="W67" s="35"/>
      <c r="X67" s="120">
        <v>0</v>
      </c>
      <c r="Z67" s="35"/>
    </row>
    <row r="68" spans="1:26" ht="13.5" customHeight="1">
      <c r="A68" s="270">
        <v>4568811105</v>
      </c>
      <c r="B68" s="276" t="s">
        <v>323</v>
      </c>
      <c r="C68" s="119" t="s">
        <v>159</v>
      </c>
      <c r="D68" s="271" t="s">
        <v>325</v>
      </c>
      <c r="E68" s="119" t="s">
        <v>326</v>
      </c>
      <c r="F68" s="271" t="s">
        <v>325</v>
      </c>
      <c r="G68" s="120">
        <v>77.86</v>
      </c>
      <c r="H68" s="120">
        <v>0</v>
      </c>
      <c r="I68" s="120">
        <v>77.86</v>
      </c>
      <c r="J68" s="121">
        <v>41438</v>
      </c>
      <c r="K68" s="121">
        <v>41437</v>
      </c>
      <c r="L68" s="272">
        <v>34</v>
      </c>
      <c r="M68" s="272" t="s">
        <v>327</v>
      </c>
      <c r="N68" s="272" t="s">
        <v>160</v>
      </c>
      <c r="O68" s="122">
        <v>928</v>
      </c>
      <c r="R68" s="120">
        <v>77.86</v>
      </c>
      <c r="S68" s="35"/>
      <c r="T68" s="35"/>
      <c r="U68" s="277" t="s">
        <v>325</v>
      </c>
      <c r="V68" s="271" t="s">
        <v>325</v>
      </c>
      <c r="W68" s="35"/>
      <c r="X68" s="120">
        <v>0</v>
      </c>
      <c r="Z68" s="35"/>
    </row>
    <row r="69" spans="1:26" ht="13.5" customHeight="1">
      <c r="A69" s="270">
        <v>4588811101</v>
      </c>
      <c r="B69" s="276" t="s">
        <v>323</v>
      </c>
      <c r="C69" s="119" t="s">
        <v>159</v>
      </c>
      <c r="D69" s="271" t="s">
        <v>325</v>
      </c>
      <c r="E69" s="119" t="s">
        <v>326</v>
      </c>
      <c r="F69" s="271" t="s">
        <v>325</v>
      </c>
      <c r="G69" s="120">
        <v>23.1</v>
      </c>
      <c r="H69" s="120">
        <v>0</v>
      </c>
      <c r="I69" s="120">
        <v>23.1</v>
      </c>
      <c r="J69" s="121">
        <v>41438</v>
      </c>
      <c r="K69" s="121">
        <v>41435</v>
      </c>
      <c r="L69" s="272">
        <v>31</v>
      </c>
      <c r="M69" s="272" t="s">
        <v>240</v>
      </c>
      <c r="N69" s="272" t="s">
        <v>127</v>
      </c>
      <c r="O69" s="122">
        <v>40</v>
      </c>
      <c r="R69" s="120">
        <v>23.1</v>
      </c>
      <c r="S69" s="35"/>
      <c r="T69" s="35"/>
      <c r="U69" s="277" t="s">
        <v>325</v>
      </c>
      <c r="V69" s="271" t="s">
        <v>325</v>
      </c>
      <c r="W69" s="35"/>
      <c r="X69" s="120">
        <v>0</v>
      </c>
      <c r="Z69" s="35"/>
    </row>
    <row r="70" spans="1:26" ht="13.5" customHeight="1">
      <c r="A70" s="270">
        <v>4794009102</v>
      </c>
      <c r="B70" s="276" t="s">
        <v>323</v>
      </c>
      <c r="C70" s="119" t="s">
        <v>162</v>
      </c>
      <c r="D70" s="271" t="s">
        <v>325</v>
      </c>
      <c r="E70" s="119" t="s">
        <v>255</v>
      </c>
      <c r="F70" s="119" t="s">
        <v>163</v>
      </c>
      <c r="G70" s="120">
        <v>356.13</v>
      </c>
      <c r="H70" s="120">
        <v>0</v>
      </c>
      <c r="I70" s="120">
        <v>356.13</v>
      </c>
      <c r="J70" s="121">
        <v>41446</v>
      </c>
      <c r="K70" s="121">
        <v>41443</v>
      </c>
      <c r="L70" s="272">
        <v>29</v>
      </c>
      <c r="M70" s="272" t="s">
        <v>327</v>
      </c>
      <c r="N70" s="272" t="s">
        <v>164</v>
      </c>
      <c r="O70" s="122">
        <v>700</v>
      </c>
      <c r="R70" s="120">
        <v>122.62</v>
      </c>
      <c r="S70" s="121">
        <v>41444</v>
      </c>
      <c r="T70" s="122">
        <v>29</v>
      </c>
      <c r="U70" s="272" t="s">
        <v>327</v>
      </c>
      <c r="V70" s="119" t="s">
        <v>165</v>
      </c>
      <c r="W70" s="122">
        <v>10</v>
      </c>
      <c r="X70" s="120">
        <v>30.72</v>
      </c>
      <c r="Z70" s="35"/>
    </row>
    <row r="71" spans="1:26" ht="13.5" customHeight="1">
      <c r="A71" s="270">
        <v>5048811100</v>
      </c>
      <c r="B71" s="276" t="s">
        <v>323</v>
      </c>
      <c r="C71" s="119" t="s">
        <v>166</v>
      </c>
      <c r="D71" s="271" t="s">
        <v>325</v>
      </c>
      <c r="E71" s="119" t="s">
        <v>326</v>
      </c>
      <c r="F71" s="271" t="s">
        <v>325</v>
      </c>
      <c r="G71" s="120">
        <v>33.56</v>
      </c>
      <c r="H71" s="120">
        <v>0</v>
      </c>
      <c r="I71" s="120">
        <v>33.56</v>
      </c>
      <c r="J71" s="121">
        <v>41438</v>
      </c>
      <c r="K71" s="121">
        <v>41437</v>
      </c>
      <c r="L71" s="272">
        <v>34</v>
      </c>
      <c r="M71" s="272" t="s">
        <v>327</v>
      </c>
      <c r="N71" s="272" t="s">
        <v>167</v>
      </c>
      <c r="O71" s="122">
        <v>210</v>
      </c>
      <c r="R71" s="120">
        <v>33.56</v>
      </c>
      <c r="S71" s="35"/>
      <c r="T71" s="35"/>
      <c r="U71" s="277" t="s">
        <v>325</v>
      </c>
      <c r="V71" s="271" t="s">
        <v>325</v>
      </c>
      <c r="W71" s="35"/>
      <c r="X71" s="120">
        <v>0</v>
      </c>
      <c r="Z71" s="35"/>
    </row>
    <row r="72" spans="1:26" ht="13.5" customHeight="1">
      <c r="A72" s="270">
        <v>5293880104</v>
      </c>
      <c r="B72" s="276" t="s">
        <v>323</v>
      </c>
      <c r="C72" s="119" t="s">
        <v>168</v>
      </c>
      <c r="D72" s="271" t="s">
        <v>325</v>
      </c>
      <c r="E72" s="119" t="s">
        <v>330</v>
      </c>
      <c r="F72" s="271" t="s">
        <v>325</v>
      </c>
      <c r="G72" s="120">
        <v>9043.3799999999992</v>
      </c>
      <c r="H72" s="120">
        <v>0</v>
      </c>
      <c r="I72" s="120">
        <v>9043.3799999999992</v>
      </c>
      <c r="J72" s="121">
        <v>41445</v>
      </c>
      <c r="K72" s="121">
        <v>41445</v>
      </c>
      <c r="L72" s="272">
        <v>29</v>
      </c>
      <c r="M72" s="272" t="s">
        <v>327</v>
      </c>
      <c r="N72" s="277" t="s">
        <v>325</v>
      </c>
      <c r="O72" s="122">
        <v>22998</v>
      </c>
      <c r="R72" s="120">
        <v>9044.58</v>
      </c>
      <c r="S72" s="35"/>
      <c r="T72" s="35"/>
      <c r="U72" s="277" t="s">
        <v>325</v>
      </c>
      <c r="V72" s="271" t="s">
        <v>325</v>
      </c>
      <c r="W72" s="35"/>
      <c r="X72" s="120">
        <v>0</v>
      </c>
      <c r="Z72" s="35"/>
    </row>
    <row r="73" spans="1:26" ht="13.5" customHeight="1">
      <c r="A73" s="270">
        <v>5333812119</v>
      </c>
      <c r="B73" s="276" t="s">
        <v>323</v>
      </c>
      <c r="C73" s="119" t="s">
        <v>169</v>
      </c>
      <c r="D73" s="271" t="s">
        <v>325</v>
      </c>
      <c r="E73" s="119" t="s">
        <v>326</v>
      </c>
      <c r="F73" s="271" t="s">
        <v>325</v>
      </c>
      <c r="G73" s="120">
        <v>38.01</v>
      </c>
      <c r="H73" s="120">
        <v>0</v>
      </c>
      <c r="I73" s="120">
        <v>38.01</v>
      </c>
      <c r="J73" s="121">
        <v>41445</v>
      </c>
      <c r="K73" s="121">
        <v>41443</v>
      </c>
      <c r="L73" s="272">
        <v>32</v>
      </c>
      <c r="M73" s="272" t="s">
        <v>327</v>
      </c>
      <c r="N73" s="272" t="s">
        <v>170</v>
      </c>
      <c r="O73" s="122">
        <v>282</v>
      </c>
      <c r="R73" s="120">
        <v>38.01</v>
      </c>
      <c r="S73" s="35"/>
      <c r="T73" s="35"/>
      <c r="U73" s="277" t="s">
        <v>325</v>
      </c>
      <c r="V73" s="271" t="s">
        <v>325</v>
      </c>
      <c r="W73" s="35"/>
      <c r="X73" s="120">
        <v>0</v>
      </c>
      <c r="Z73" s="35"/>
    </row>
    <row r="74" spans="1:26" ht="13.5" customHeight="1">
      <c r="A74" s="270">
        <v>5513812108</v>
      </c>
      <c r="B74" s="276" t="s">
        <v>323</v>
      </c>
      <c r="C74" s="119" t="s">
        <v>337</v>
      </c>
      <c r="D74" s="271" t="s">
        <v>325</v>
      </c>
      <c r="E74" s="119" t="s">
        <v>332</v>
      </c>
      <c r="F74" s="271" t="s">
        <v>325</v>
      </c>
      <c r="G74" s="120">
        <v>146</v>
      </c>
      <c r="H74" s="120">
        <v>0</v>
      </c>
      <c r="I74" s="120">
        <v>146</v>
      </c>
      <c r="J74" s="121">
        <v>41445</v>
      </c>
      <c r="K74" s="121">
        <v>41442</v>
      </c>
      <c r="L74" s="272">
        <v>31</v>
      </c>
      <c r="M74" s="272" t="s">
        <v>327</v>
      </c>
      <c r="N74" s="272" t="s">
        <v>114</v>
      </c>
      <c r="O74" s="122">
        <v>976</v>
      </c>
      <c r="P74" s="122">
        <v>8.1</v>
      </c>
      <c r="Q74" s="122">
        <v>0.16195406876410462</v>
      </c>
      <c r="R74" s="120">
        <v>146</v>
      </c>
      <c r="S74" s="35"/>
      <c r="T74" s="35"/>
      <c r="U74" s="277" t="s">
        <v>325</v>
      </c>
      <c r="V74" s="271" t="s">
        <v>325</v>
      </c>
      <c r="W74" s="35"/>
      <c r="X74" s="120">
        <v>0</v>
      </c>
      <c r="Z74" s="35"/>
    </row>
    <row r="75" spans="1:26" ht="13.5" customHeight="1">
      <c r="A75" s="270">
        <v>5613808124</v>
      </c>
      <c r="B75" s="276" t="s">
        <v>323</v>
      </c>
      <c r="C75" s="119" t="s">
        <v>172</v>
      </c>
      <c r="D75" s="271" t="s">
        <v>325</v>
      </c>
      <c r="E75" s="119" t="s">
        <v>255</v>
      </c>
      <c r="F75" s="271" t="s">
        <v>325</v>
      </c>
      <c r="G75" s="120">
        <v>44.97</v>
      </c>
      <c r="H75" s="120">
        <v>0</v>
      </c>
      <c r="I75" s="120">
        <v>44.97</v>
      </c>
      <c r="J75" s="121">
        <v>41445</v>
      </c>
      <c r="K75" s="121">
        <v>41443</v>
      </c>
      <c r="L75" s="272">
        <v>29</v>
      </c>
      <c r="M75" s="272" t="s">
        <v>327</v>
      </c>
      <c r="N75" s="272" t="s">
        <v>128</v>
      </c>
      <c r="O75" s="122">
        <v>167</v>
      </c>
      <c r="R75" s="120">
        <v>44.97</v>
      </c>
      <c r="S75" s="35"/>
      <c r="T75" s="35"/>
      <c r="U75" s="277" t="s">
        <v>325</v>
      </c>
      <c r="V75" s="271" t="s">
        <v>325</v>
      </c>
      <c r="W75" s="35"/>
      <c r="X75" s="120">
        <v>0</v>
      </c>
      <c r="Z75" s="35"/>
    </row>
    <row r="76" spans="1:26" ht="13.5" customHeight="1">
      <c r="A76" s="270">
        <v>5668811108</v>
      </c>
      <c r="B76" s="276" t="s">
        <v>323</v>
      </c>
      <c r="C76" s="119" t="s">
        <v>159</v>
      </c>
      <c r="D76" s="271" t="s">
        <v>325</v>
      </c>
      <c r="E76" s="119" t="s">
        <v>255</v>
      </c>
      <c r="F76" s="271" t="s">
        <v>325</v>
      </c>
      <c r="G76" s="120">
        <v>36.79</v>
      </c>
      <c r="H76" s="120">
        <v>0</v>
      </c>
      <c r="I76" s="120">
        <v>36.79</v>
      </c>
      <c r="J76" s="121">
        <v>41438</v>
      </c>
      <c r="K76" s="121">
        <v>41437</v>
      </c>
      <c r="L76" s="272">
        <v>34</v>
      </c>
      <c r="M76" s="272" t="s">
        <v>327</v>
      </c>
      <c r="N76" s="272" t="s">
        <v>174</v>
      </c>
      <c r="O76" s="122">
        <v>111</v>
      </c>
      <c r="R76" s="120">
        <v>36.79</v>
      </c>
      <c r="S76" s="35"/>
      <c r="T76" s="35"/>
      <c r="U76" s="277" t="s">
        <v>325</v>
      </c>
      <c r="V76" s="271" t="s">
        <v>325</v>
      </c>
      <c r="W76" s="35"/>
      <c r="X76" s="120">
        <v>0</v>
      </c>
      <c r="Z76" s="35"/>
    </row>
    <row r="77" spans="1:26" ht="13.5" customHeight="1">
      <c r="A77" s="270">
        <v>5748811104</v>
      </c>
      <c r="B77" s="276" t="s">
        <v>323</v>
      </c>
      <c r="C77" s="119" t="s">
        <v>175</v>
      </c>
      <c r="D77" s="271" t="s">
        <v>325</v>
      </c>
      <c r="E77" s="119" t="s">
        <v>326</v>
      </c>
      <c r="F77" s="271" t="s">
        <v>325</v>
      </c>
      <c r="G77" s="120">
        <v>21.1</v>
      </c>
      <c r="H77" s="120">
        <v>0</v>
      </c>
      <c r="I77" s="120">
        <v>21.1</v>
      </c>
      <c r="J77" s="121">
        <v>41438</v>
      </c>
      <c r="K77" s="121">
        <v>41437</v>
      </c>
      <c r="L77" s="272">
        <v>34</v>
      </c>
      <c r="M77" s="272" t="s">
        <v>327</v>
      </c>
      <c r="N77" s="272" t="s">
        <v>176</v>
      </c>
      <c r="O77" s="122">
        <v>8</v>
      </c>
      <c r="R77" s="120">
        <v>21.1</v>
      </c>
      <c r="S77" s="35"/>
      <c r="T77" s="35"/>
      <c r="U77" s="277" t="s">
        <v>325</v>
      </c>
      <c r="V77" s="271" t="s">
        <v>325</v>
      </c>
      <c r="W77" s="35"/>
      <c r="X77" s="120">
        <v>0</v>
      </c>
      <c r="Z77" s="35"/>
    </row>
    <row r="78" spans="1:26" ht="13.5" customHeight="1">
      <c r="A78" s="270">
        <v>5828811100</v>
      </c>
      <c r="B78" s="276" t="s">
        <v>323</v>
      </c>
      <c r="C78" s="119" t="s">
        <v>175</v>
      </c>
      <c r="D78" s="271" t="s">
        <v>325</v>
      </c>
      <c r="E78" s="119" t="s">
        <v>326</v>
      </c>
      <c r="F78" s="271" t="s">
        <v>325</v>
      </c>
      <c r="G78" s="120">
        <v>20.81</v>
      </c>
      <c r="H78" s="120">
        <v>0</v>
      </c>
      <c r="I78" s="120">
        <v>20.81</v>
      </c>
      <c r="J78" s="121">
        <v>41438</v>
      </c>
      <c r="K78" s="121">
        <v>41437</v>
      </c>
      <c r="L78" s="272">
        <v>34</v>
      </c>
      <c r="M78" s="272" t="s">
        <v>327</v>
      </c>
      <c r="N78" s="272" t="s">
        <v>177</v>
      </c>
      <c r="O78" s="122">
        <v>3</v>
      </c>
      <c r="R78" s="120">
        <v>20.81</v>
      </c>
      <c r="S78" s="35"/>
      <c r="T78" s="35"/>
      <c r="U78" s="277" t="s">
        <v>325</v>
      </c>
      <c r="V78" s="271" t="s">
        <v>325</v>
      </c>
      <c r="W78" s="35"/>
      <c r="X78" s="120">
        <v>0</v>
      </c>
      <c r="Z78" s="35"/>
    </row>
    <row r="79" spans="1:26" ht="13.5" customHeight="1">
      <c r="A79" s="270">
        <v>5913814119</v>
      </c>
      <c r="B79" s="276" t="s">
        <v>323</v>
      </c>
      <c r="C79" s="119" t="s">
        <v>178</v>
      </c>
      <c r="D79" s="271" t="s">
        <v>325</v>
      </c>
      <c r="E79" s="119" t="s">
        <v>332</v>
      </c>
      <c r="F79" s="271" t="s">
        <v>325</v>
      </c>
      <c r="G79" s="120">
        <v>357.28</v>
      </c>
      <c r="H79" s="120">
        <v>0</v>
      </c>
      <c r="I79" s="120">
        <v>357.28</v>
      </c>
      <c r="J79" s="121">
        <v>41445</v>
      </c>
      <c r="K79" s="121">
        <v>41442</v>
      </c>
      <c r="L79" s="272">
        <v>31</v>
      </c>
      <c r="M79" s="272" t="s">
        <v>327</v>
      </c>
      <c r="N79" s="272" t="s">
        <v>118</v>
      </c>
      <c r="O79" s="122">
        <v>2642</v>
      </c>
      <c r="P79" s="122">
        <v>26.8</v>
      </c>
      <c r="Q79" s="122">
        <v>0.1325028085379554</v>
      </c>
      <c r="R79" s="120">
        <v>357.28</v>
      </c>
      <c r="S79" s="35"/>
      <c r="T79" s="35"/>
      <c r="U79" s="277" t="s">
        <v>325</v>
      </c>
      <c r="V79" s="271" t="s">
        <v>325</v>
      </c>
      <c r="W79" s="35"/>
      <c r="X79" s="120">
        <v>0</v>
      </c>
      <c r="Z79" s="35"/>
    </row>
    <row r="80" spans="1:26" ht="13.5" customHeight="1">
      <c r="A80" s="270">
        <v>5933814115</v>
      </c>
      <c r="B80" s="276" t="s">
        <v>323</v>
      </c>
      <c r="C80" s="119" t="s">
        <v>180</v>
      </c>
      <c r="D80" s="271" t="s">
        <v>325</v>
      </c>
      <c r="E80" s="119" t="s">
        <v>332</v>
      </c>
      <c r="F80" s="271" t="s">
        <v>325</v>
      </c>
      <c r="G80" s="120">
        <v>511.16</v>
      </c>
      <c r="H80" s="120">
        <v>0</v>
      </c>
      <c r="I80" s="120">
        <v>511.16</v>
      </c>
      <c r="J80" s="121">
        <v>41445</v>
      </c>
      <c r="K80" s="121">
        <v>41442</v>
      </c>
      <c r="L80" s="272">
        <v>31</v>
      </c>
      <c r="M80" s="272" t="s">
        <v>327</v>
      </c>
      <c r="N80" s="272" t="s">
        <v>181</v>
      </c>
      <c r="O80" s="122">
        <v>16278</v>
      </c>
      <c r="P80" s="122">
        <v>29.4</v>
      </c>
      <c r="Q80" s="122">
        <v>0.74418477068246658</v>
      </c>
      <c r="R80" s="120">
        <v>511.16</v>
      </c>
      <c r="S80" s="35"/>
      <c r="T80" s="35"/>
      <c r="U80" s="277" t="s">
        <v>325</v>
      </c>
      <c r="V80" s="271" t="s">
        <v>325</v>
      </c>
      <c r="W80" s="35"/>
      <c r="X80" s="120">
        <v>0</v>
      </c>
      <c r="Z80" s="35"/>
    </row>
    <row r="81" spans="1:26" ht="13.5" customHeight="1">
      <c r="A81" s="270">
        <v>6053820112</v>
      </c>
      <c r="B81" s="276" t="s">
        <v>323</v>
      </c>
      <c r="C81" s="119" t="s">
        <v>182</v>
      </c>
      <c r="D81" s="271" t="s">
        <v>325</v>
      </c>
      <c r="E81" s="119" t="s">
        <v>326</v>
      </c>
      <c r="F81" s="271" t="s">
        <v>325</v>
      </c>
      <c r="G81" s="120">
        <v>22.41</v>
      </c>
      <c r="H81" s="120">
        <v>0</v>
      </c>
      <c r="I81" s="120">
        <v>22.41</v>
      </c>
      <c r="J81" s="121">
        <v>41445</v>
      </c>
      <c r="K81" s="121">
        <v>41443</v>
      </c>
      <c r="L81" s="272">
        <v>32</v>
      </c>
      <c r="M81" s="272" t="s">
        <v>327</v>
      </c>
      <c r="N81" s="272" t="s">
        <v>183</v>
      </c>
      <c r="O81" s="122">
        <v>29</v>
      </c>
      <c r="R81" s="120">
        <v>22.41</v>
      </c>
      <c r="S81" s="35"/>
      <c r="T81" s="35"/>
      <c r="U81" s="277" t="s">
        <v>325</v>
      </c>
      <c r="V81" s="271" t="s">
        <v>325</v>
      </c>
      <c r="W81" s="35"/>
      <c r="X81" s="120">
        <v>0</v>
      </c>
      <c r="Z81" s="35"/>
    </row>
    <row r="82" spans="1:26" ht="13.5" customHeight="1">
      <c r="A82" s="270">
        <v>6173817104</v>
      </c>
      <c r="B82" s="276" t="s">
        <v>323</v>
      </c>
      <c r="C82" s="119" t="s">
        <v>184</v>
      </c>
      <c r="D82" s="271" t="s">
        <v>325</v>
      </c>
      <c r="E82" s="119" t="s">
        <v>326</v>
      </c>
      <c r="F82" s="271" t="s">
        <v>325</v>
      </c>
      <c r="G82" s="120">
        <v>44.48</v>
      </c>
      <c r="H82" s="120">
        <v>0</v>
      </c>
      <c r="I82" s="120">
        <v>44.48</v>
      </c>
      <c r="J82" s="121">
        <v>41445</v>
      </c>
      <c r="K82" s="121">
        <v>41443</v>
      </c>
      <c r="L82" s="272">
        <v>32</v>
      </c>
      <c r="M82" s="272" t="s">
        <v>327</v>
      </c>
      <c r="N82" s="272" t="s">
        <v>185</v>
      </c>
      <c r="O82" s="122">
        <v>387</v>
      </c>
      <c r="R82" s="120">
        <v>44.48</v>
      </c>
      <c r="S82" s="35"/>
      <c r="T82" s="35"/>
      <c r="U82" s="277" t="s">
        <v>325</v>
      </c>
      <c r="V82" s="271" t="s">
        <v>325</v>
      </c>
      <c r="W82" s="35"/>
      <c r="X82" s="120">
        <v>0</v>
      </c>
      <c r="Z82" s="35"/>
    </row>
    <row r="83" spans="1:26" ht="13.5" customHeight="1">
      <c r="A83" s="270">
        <v>6368810106</v>
      </c>
      <c r="B83" s="276" t="s">
        <v>323</v>
      </c>
      <c r="C83" s="119" t="s">
        <v>186</v>
      </c>
      <c r="D83" s="271" t="s">
        <v>325</v>
      </c>
      <c r="E83" s="119" t="s">
        <v>326</v>
      </c>
      <c r="F83" s="271" t="s">
        <v>325</v>
      </c>
      <c r="G83" s="120">
        <v>107.56</v>
      </c>
      <c r="H83" s="120">
        <v>0</v>
      </c>
      <c r="I83" s="120">
        <v>107.56</v>
      </c>
      <c r="J83" s="121">
        <v>41438</v>
      </c>
      <c r="K83" s="121">
        <v>41437</v>
      </c>
      <c r="L83" s="272">
        <v>34</v>
      </c>
      <c r="M83" s="272" t="s">
        <v>327</v>
      </c>
      <c r="N83" s="272" t="s">
        <v>187</v>
      </c>
      <c r="O83" s="122">
        <v>1410</v>
      </c>
      <c r="R83" s="120">
        <v>107.56</v>
      </c>
      <c r="S83" s="35"/>
      <c r="T83" s="35"/>
      <c r="U83" s="277" t="s">
        <v>325</v>
      </c>
      <c r="V83" s="271" t="s">
        <v>325</v>
      </c>
      <c r="W83" s="35"/>
      <c r="X83" s="120">
        <v>0</v>
      </c>
      <c r="Z83" s="35"/>
    </row>
    <row r="84" spans="1:26" ht="13.5" customHeight="1">
      <c r="A84" s="270">
        <v>6853819124</v>
      </c>
      <c r="B84" s="276" t="s">
        <v>323</v>
      </c>
      <c r="C84" s="119" t="s">
        <v>188</v>
      </c>
      <c r="D84" s="271" t="s">
        <v>325</v>
      </c>
      <c r="E84" s="119" t="s">
        <v>255</v>
      </c>
      <c r="F84" s="271" t="s">
        <v>325</v>
      </c>
      <c r="G84" s="120">
        <v>59.23</v>
      </c>
      <c r="H84" s="120">
        <v>0</v>
      </c>
      <c r="I84" s="120">
        <v>59.23</v>
      </c>
      <c r="J84" s="121">
        <v>41445</v>
      </c>
      <c r="K84" s="121">
        <v>41443</v>
      </c>
      <c r="L84" s="272">
        <v>32</v>
      </c>
      <c r="M84" s="272" t="s">
        <v>327</v>
      </c>
      <c r="N84" s="272" t="s">
        <v>189</v>
      </c>
      <c r="O84" s="122">
        <v>265</v>
      </c>
      <c r="R84" s="120">
        <v>59.23</v>
      </c>
      <c r="S84" s="35"/>
      <c r="T84" s="35"/>
      <c r="U84" s="277" t="s">
        <v>325</v>
      </c>
      <c r="V84" s="271" t="s">
        <v>325</v>
      </c>
      <c r="W84" s="35"/>
      <c r="X84" s="120">
        <v>0</v>
      </c>
      <c r="Z84" s="35"/>
    </row>
    <row r="85" spans="1:26" ht="13.5" customHeight="1">
      <c r="A85" s="270">
        <v>6857311003</v>
      </c>
      <c r="B85" s="276" t="s">
        <v>323</v>
      </c>
      <c r="C85" s="119" t="s">
        <v>190</v>
      </c>
      <c r="D85" s="271" t="s">
        <v>325</v>
      </c>
      <c r="E85" s="119" t="s">
        <v>255</v>
      </c>
      <c r="F85" s="271" t="s">
        <v>325</v>
      </c>
      <c r="G85" s="120">
        <v>21.78</v>
      </c>
      <c r="H85" s="120">
        <v>0</v>
      </c>
      <c r="I85" s="120">
        <v>21.78</v>
      </c>
      <c r="J85" s="121">
        <v>41445</v>
      </c>
      <c r="K85" s="121">
        <v>41443</v>
      </c>
      <c r="L85" s="272">
        <v>32</v>
      </c>
      <c r="M85" s="272" t="s">
        <v>327</v>
      </c>
      <c r="N85" s="272" t="s">
        <v>191</v>
      </c>
      <c r="O85" s="122">
        <v>5</v>
      </c>
      <c r="R85" s="120">
        <v>21.78</v>
      </c>
      <c r="S85" s="35"/>
      <c r="T85" s="35"/>
      <c r="U85" s="277" t="s">
        <v>325</v>
      </c>
      <c r="V85" s="271" t="s">
        <v>325</v>
      </c>
      <c r="W85" s="35"/>
      <c r="X85" s="120">
        <v>0</v>
      </c>
      <c r="Z85" s="35"/>
    </row>
    <row r="86" spans="1:26" ht="13.5" customHeight="1">
      <c r="A86" s="270">
        <v>7312015014</v>
      </c>
      <c r="B86" s="276" t="s">
        <v>323</v>
      </c>
      <c r="C86" s="119" t="s">
        <v>192</v>
      </c>
      <c r="D86" s="271" t="s">
        <v>325</v>
      </c>
      <c r="E86" s="119" t="s">
        <v>326</v>
      </c>
      <c r="F86" s="271" t="s">
        <v>325</v>
      </c>
      <c r="G86" s="120">
        <v>26.36</v>
      </c>
      <c r="H86" s="120">
        <v>0</v>
      </c>
      <c r="I86" s="120">
        <v>26.36</v>
      </c>
      <c r="J86" s="121">
        <v>41438</v>
      </c>
      <c r="K86" s="121">
        <v>41437</v>
      </c>
      <c r="L86" s="272">
        <v>34</v>
      </c>
      <c r="M86" s="272" t="s">
        <v>327</v>
      </c>
      <c r="N86" s="272" t="s">
        <v>193</v>
      </c>
      <c r="O86" s="122">
        <v>93</v>
      </c>
      <c r="R86" s="120">
        <v>26.36</v>
      </c>
      <c r="S86" s="35"/>
      <c r="T86" s="35"/>
      <c r="U86" s="277" t="s">
        <v>325</v>
      </c>
      <c r="V86" s="271" t="s">
        <v>325</v>
      </c>
      <c r="W86" s="35"/>
      <c r="X86" s="120">
        <v>0</v>
      </c>
      <c r="Z86" s="35"/>
    </row>
    <row r="87" spans="1:26" ht="13.5" customHeight="1">
      <c r="A87" s="270">
        <v>8193819106</v>
      </c>
      <c r="B87" s="276" t="s">
        <v>323</v>
      </c>
      <c r="C87" s="119" t="s">
        <v>205</v>
      </c>
      <c r="D87" s="271" t="s">
        <v>325</v>
      </c>
      <c r="E87" s="271" t="s">
        <v>325</v>
      </c>
      <c r="F87" s="119" t="s">
        <v>335</v>
      </c>
      <c r="G87" s="120">
        <v>39.01</v>
      </c>
      <c r="H87" s="120">
        <v>0</v>
      </c>
      <c r="I87" s="120">
        <v>39.01</v>
      </c>
      <c r="J87" s="121">
        <v>41445</v>
      </c>
      <c r="L87" s="125"/>
      <c r="M87" s="277" t="s">
        <v>325</v>
      </c>
      <c r="N87" s="277" t="s">
        <v>325</v>
      </c>
      <c r="O87" s="35"/>
      <c r="R87" s="120">
        <v>0</v>
      </c>
      <c r="S87" s="121">
        <v>41443</v>
      </c>
      <c r="T87" s="122">
        <v>32</v>
      </c>
      <c r="U87" s="272" t="s">
        <v>327</v>
      </c>
      <c r="V87" s="119" t="s">
        <v>88</v>
      </c>
      <c r="W87" s="122">
        <v>50</v>
      </c>
      <c r="X87" s="120">
        <v>39.01</v>
      </c>
      <c r="Z87" s="35"/>
    </row>
    <row r="88" spans="1:26" ht="13.5" customHeight="1">
      <c r="A88" s="270">
        <v>8714009102</v>
      </c>
      <c r="B88" s="276" t="s">
        <v>323</v>
      </c>
      <c r="C88" s="119" t="s">
        <v>89</v>
      </c>
      <c r="D88" s="271" t="s">
        <v>325</v>
      </c>
      <c r="E88" s="119" t="s">
        <v>326</v>
      </c>
      <c r="F88" s="119" t="s">
        <v>163</v>
      </c>
      <c r="G88" s="120">
        <v>184.93</v>
      </c>
      <c r="H88" s="120">
        <v>0</v>
      </c>
      <c r="I88" s="120">
        <v>184.93</v>
      </c>
      <c r="J88" s="121">
        <v>41446</v>
      </c>
      <c r="K88" s="121">
        <v>41443</v>
      </c>
      <c r="L88" s="272">
        <v>29</v>
      </c>
      <c r="M88" s="272" t="s">
        <v>327</v>
      </c>
      <c r="N88" s="272" t="s">
        <v>90</v>
      </c>
      <c r="O88" s="122">
        <v>680</v>
      </c>
      <c r="R88" s="120">
        <v>62.54</v>
      </c>
      <c r="S88" s="121">
        <v>41444</v>
      </c>
      <c r="T88" s="122">
        <v>29</v>
      </c>
      <c r="U88" s="272" t="s">
        <v>327</v>
      </c>
      <c r="V88" s="119" t="s">
        <v>91</v>
      </c>
      <c r="W88" s="122">
        <v>9</v>
      </c>
      <c r="X88" s="120">
        <v>29.97</v>
      </c>
      <c r="Z88" s="35"/>
    </row>
    <row r="89" spans="1:26" ht="13.5" customHeight="1">
      <c r="A89" s="270">
        <v>8993882105</v>
      </c>
      <c r="B89" s="276" t="s">
        <v>323</v>
      </c>
      <c r="C89" s="119" t="s">
        <v>92</v>
      </c>
      <c r="D89" s="271" t="s">
        <v>325</v>
      </c>
      <c r="E89" s="119" t="s">
        <v>330</v>
      </c>
      <c r="F89" s="271" t="s">
        <v>325</v>
      </c>
      <c r="G89" s="120">
        <v>93.4</v>
      </c>
      <c r="H89" s="120">
        <v>0</v>
      </c>
      <c r="I89" s="120">
        <v>93.4</v>
      </c>
      <c r="J89" s="121">
        <v>41445</v>
      </c>
      <c r="K89" s="121">
        <v>41445</v>
      </c>
      <c r="L89" s="272">
        <v>29</v>
      </c>
      <c r="M89" s="272" t="s">
        <v>327</v>
      </c>
      <c r="N89" s="277" t="s">
        <v>325</v>
      </c>
      <c r="O89" s="122">
        <v>58</v>
      </c>
      <c r="R89" s="120">
        <v>93.4</v>
      </c>
      <c r="S89" s="35"/>
      <c r="T89" s="35"/>
      <c r="U89" s="277" t="s">
        <v>325</v>
      </c>
      <c r="V89" s="271" t="s">
        <v>325</v>
      </c>
      <c r="W89" s="35"/>
      <c r="X89" s="120">
        <v>0</v>
      </c>
      <c r="Z89" s="35"/>
    </row>
    <row r="90" spans="1:26" ht="13.5" customHeight="1">
      <c r="A90" s="270">
        <v>9308810101</v>
      </c>
      <c r="B90" s="276" t="s">
        <v>323</v>
      </c>
      <c r="C90" s="119" t="s">
        <v>337</v>
      </c>
      <c r="D90" s="271" t="s">
        <v>325</v>
      </c>
      <c r="E90" s="271" t="s">
        <v>325</v>
      </c>
      <c r="F90" s="119" t="s">
        <v>335</v>
      </c>
      <c r="G90" s="120">
        <v>27.36</v>
      </c>
      <c r="H90" s="120">
        <v>0</v>
      </c>
      <c r="I90" s="120">
        <v>27.36</v>
      </c>
      <c r="J90" s="121">
        <v>41438</v>
      </c>
      <c r="L90" s="125"/>
      <c r="M90" s="277" t="s">
        <v>325</v>
      </c>
      <c r="N90" s="277" t="s">
        <v>325</v>
      </c>
      <c r="O90" s="35"/>
      <c r="R90" s="120">
        <v>0</v>
      </c>
      <c r="S90" s="121">
        <v>41437</v>
      </c>
      <c r="T90" s="122">
        <v>34</v>
      </c>
      <c r="U90" s="272" t="s">
        <v>327</v>
      </c>
      <c r="V90" s="119" t="s">
        <v>93</v>
      </c>
      <c r="W90" s="122">
        <v>14</v>
      </c>
      <c r="X90" s="120">
        <v>27.36</v>
      </c>
      <c r="Z90" s="35"/>
    </row>
    <row r="91" spans="1:26" ht="13.5" customHeight="1">
      <c r="A91" s="270">
        <v>9428808118</v>
      </c>
      <c r="B91" s="276" t="s">
        <v>323</v>
      </c>
      <c r="C91" s="119" t="s">
        <v>94</v>
      </c>
      <c r="D91" s="271" t="s">
        <v>325</v>
      </c>
      <c r="E91" s="271" t="s">
        <v>325</v>
      </c>
      <c r="F91" s="119" t="s">
        <v>236</v>
      </c>
      <c r="G91" s="120">
        <v>20.36</v>
      </c>
      <c r="H91" s="120">
        <v>0</v>
      </c>
      <c r="I91" s="120">
        <v>20.36</v>
      </c>
      <c r="J91" s="121">
        <v>41438</v>
      </c>
      <c r="L91" s="125"/>
      <c r="M91" s="277" t="s">
        <v>325</v>
      </c>
      <c r="N91" s="277" t="s">
        <v>325</v>
      </c>
      <c r="O91" s="35"/>
      <c r="R91" s="120">
        <v>0</v>
      </c>
      <c r="S91" s="121">
        <v>41437</v>
      </c>
      <c r="T91" s="122">
        <v>34</v>
      </c>
      <c r="U91" s="272" t="s">
        <v>327</v>
      </c>
      <c r="V91" s="119" t="s">
        <v>97</v>
      </c>
      <c r="W91" s="122">
        <v>0</v>
      </c>
      <c r="X91" s="120">
        <v>20.36</v>
      </c>
      <c r="Z91" s="35"/>
    </row>
    <row r="92" spans="1:26" ht="13.5" customHeight="1">
      <c r="A92" s="270">
        <v>9488810107</v>
      </c>
      <c r="B92" s="276" t="s">
        <v>323</v>
      </c>
      <c r="C92" s="119" t="s">
        <v>337</v>
      </c>
      <c r="D92" s="271" t="s">
        <v>325</v>
      </c>
      <c r="E92" s="119" t="s">
        <v>332</v>
      </c>
      <c r="F92" s="271" t="s">
        <v>325</v>
      </c>
      <c r="G92" s="120">
        <v>2081.9699999999998</v>
      </c>
      <c r="H92" s="120">
        <v>0</v>
      </c>
      <c r="I92" s="120">
        <v>2081.9699999999998</v>
      </c>
      <c r="J92" s="121">
        <v>41438</v>
      </c>
      <c r="K92" s="121">
        <v>41438</v>
      </c>
      <c r="L92" s="272">
        <v>34</v>
      </c>
      <c r="M92" s="272" t="s">
        <v>327</v>
      </c>
      <c r="N92" s="272" t="s">
        <v>98</v>
      </c>
      <c r="O92" s="122">
        <v>7520</v>
      </c>
      <c r="P92" s="122">
        <v>187.2</v>
      </c>
      <c r="Q92" s="122">
        <v>4.9229093346740409E-2</v>
      </c>
      <c r="R92" s="120">
        <v>2081.9699999999998</v>
      </c>
      <c r="S92" s="35"/>
      <c r="T92" s="35"/>
      <c r="U92" s="277" t="s">
        <v>325</v>
      </c>
      <c r="V92" s="271" t="s">
        <v>325</v>
      </c>
      <c r="W92" s="35"/>
      <c r="X92" s="120">
        <v>0</v>
      </c>
      <c r="Z92" s="35"/>
    </row>
    <row r="93" spans="1:26" ht="13.5" customHeight="1">
      <c r="A93" s="270">
        <v>9529017113</v>
      </c>
      <c r="B93" s="276" t="s">
        <v>323</v>
      </c>
      <c r="C93" s="119" t="s">
        <v>99</v>
      </c>
      <c r="D93" s="271" t="s">
        <v>325</v>
      </c>
      <c r="E93" s="119" t="s">
        <v>326</v>
      </c>
      <c r="F93" s="271" t="s">
        <v>325</v>
      </c>
      <c r="G93" s="120">
        <v>100.96</v>
      </c>
      <c r="H93" s="120">
        <v>0</v>
      </c>
      <c r="I93" s="120">
        <v>100.96</v>
      </c>
      <c r="J93" s="121">
        <v>41439</v>
      </c>
      <c r="K93" s="121">
        <v>41438</v>
      </c>
      <c r="L93" s="272">
        <v>34</v>
      </c>
      <c r="M93" s="272" t="s">
        <v>327</v>
      </c>
      <c r="N93" s="272" t="s">
        <v>100</v>
      </c>
      <c r="O93" s="122">
        <v>1303</v>
      </c>
      <c r="R93" s="120">
        <v>100.96</v>
      </c>
      <c r="S93" s="35"/>
      <c r="T93" s="35"/>
      <c r="U93" s="277" t="s">
        <v>325</v>
      </c>
      <c r="V93" s="271" t="s">
        <v>325</v>
      </c>
      <c r="W93" s="35"/>
      <c r="X93" s="120">
        <v>0</v>
      </c>
      <c r="Z93" s="35"/>
    </row>
    <row r="94" spans="1:26" ht="13.5" customHeight="1">
      <c r="A94" s="270">
        <v>9753819107</v>
      </c>
      <c r="B94" s="276" t="s">
        <v>323</v>
      </c>
      <c r="C94" s="119" t="s">
        <v>101</v>
      </c>
      <c r="D94" s="271" t="s">
        <v>325</v>
      </c>
      <c r="E94" s="119" t="s">
        <v>332</v>
      </c>
      <c r="F94" s="119" t="s">
        <v>277</v>
      </c>
      <c r="G94" s="120">
        <v>835.1</v>
      </c>
      <c r="H94" s="120">
        <v>0</v>
      </c>
      <c r="I94" s="120">
        <v>835.1</v>
      </c>
      <c r="J94" s="121">
        <v>41445</v>
      </c>
      <c r="K94" s="121">
        <v>41444</v>
      </c>
      <c r="L94" s="272">
        <v>30</v>
      </c>
      <c r="M94" s="272" t="s">
        <v>327</v>
      </c>
      <c r="N94" s="272" t="s">
        <v>102</v>
      </c>
      <c r="O94" s="122">
        <v>14960</v>
      </c>
      <c r="P94" s="122">
        <v>59.2</v>
      </c>
      <c r="Q94" s="122">
        <v>0.35097597597597596</v>
      </c>
      <c r="R94" s="120">
        <v>810.93</v>
      </c>
      <c r="S94" s="121">
        <v>41443</v>
      </c>
      <c r="T94" s="122">
        <v>32</v>
      </c>
      <c r="U94" s="272" t="s">
        <v>327</v>
      </c>
      <c r="V94" s="119" t="s">
        <v>103</v>
      </c>
      <c r="W94" s="122">
        <v>0</v>
      </c>
      <c r="X94" s="120">
        <v>24.17</v>
      </c>
      <c r="Z94" s="35"/>
    </row>
    <row r="95" spans="1:26" ht="13.5" customHeight="1">
      <c r="A95" s="270">
        <v>9753820119</v>
      </c>
      <c r="B95" s="276" t="s">
        <v>323</v>
      </c>
      <c r="C95" s="119" t="s">
        <v>104</v>
      </c>
      <c r="D95" s="271" t="s">
        <v>325</v>
      </c>
      <c r="E95" s="119" t="s">
        <v>326</v>
      </c>
      <c r="F95" s="271" t="s">
        <v>325</v>
      </c>
      <c r="G95" s="120">
        <v>23.27</v>
      </c>
      <c r="H95" s="120">
        <v>0</v>
      </c>
      <c r="I95" s="120">
        <v>23.27</v>
      </c>
      <c r="J95" s="121">
        <v>41445</v>
      </c>
      <c r="K95" s="121">
        <v>41443</v>
      </c>
      <c r="L95" s="272">
        <v>32</v>
      </c>
      <c r="M95" s="272" t="s">
        <v>327</v>
      </c>
      <c r="N95" s="272" t="s">
        <v>105</v>
      </c>
      <c r="O95" s="122">
        <v>43</v>
      </c>
      <c r="R95" s="120">
        <v>23.27</v>
      </c>
      <c r="S95" s="35"/>
      <c r="T95" s="35"/>
      <c r="U95" s="277" t="s">
        <v>325</v>
      </c>
      <c r="V95" s="271" t="s">
        <v>325</v>
      </c>
      <c r="W95" s="35"/>
      <c r="X95" s="120">
        <v>0</v>
      </c>
      <c r="Z95" s="35"/>
    </row>
    <row r="96" spans="1:26" ht="13.5" customHeight="1">
      <c r="A96" s="270">
        <v>9953820104</v>
      </c>
      <c r="B96" s="276" t="s">
        <v>323</v>
      </c>
      <c r="C96" s="119" t="s">
        <v>106</v>
      </c>
      <c r="D96" s="271" t="s">
        <v>325</v>
      </c>
      <c r="E96" s="119" t="s">
        <v>326</v>
      </c>
      <c r="F96" s="271" t="s">
        <v>325</v>
      </c>
      <c r="G96" s="120">
        <v>35.64</v>
      </c>
      <c r="H96" s="120">
        <v>0</v>
      </c>
      <c r="I96" s="120">
        <v>35.64</v>
      </c>
      <c r="J96" s="121">
        <v>41445</v>
      </c>
      <c r="K96" s="121">
        <v>41443</v>
      </c>
      <c r="L96" s="272">
        <v>32</v>
      </c>
      <c r="M96" s="272" t="s">
        <v>327</v>
      </c>
      <c r="N96" s="272" t="s">
        <v>107</v>
      </c>
      <c r="O96" s="122">
        <v>244</v>
      </c>
      <c r="R96" s="120">
        <v>35.64</v>
      </c>
      <c r="S96" s="35"/>
      <c r="T96" s="35"/>
      <c r="U96" s="277" t="s">
        <v>325</v>
      </c>
      <c r="V96" s="271" t="s">
        <v>325</v>
      </c>
      <c r="W96" s="35"/>
      <c r="X96" s="120">
        <v>0</v>
      </c>
      <c r="Z96" s="35"/>
    </row>
    <row r="97" spans="2:10">
      <c r="B97" s="125"/>
    </row>
    <row r="98" spans="2:10">
      <c r="I98" s="273">
        <f>SUM(I15:I97)</f>
        <v>20632.929999999997</v>
      </c>
      <c r="J98" s="257">
        <f>SUM(J15:J97)</f>
        <v>3398213</v>
      </c>
    </row>
  </sheetData>
  <mergeCells count="3">
    <mergeCell ref="A5:E5"/>
    <mergeCell ref="A6:E6"/>
    <mergeCell ref="A11:B11"/>
  </mergeCells>
  <phoneticPr fontId="7" type="noConversion"/>
  <pageMargins left="0.25" right="0.25" top="0.75" bottom="0.75" header="0.3" footer="0.3"/>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4:Y101"/>
  <sheetViews>
    <sheetView zoomScaleNormal="73" zoomScaleSheetLayoutView="109" zoomScalePageLayoutView="73" workbookViewId="0">
      <selection sqref="A1:XFD1"/>
    </sheetView>
  </sheetViews>
  <sheetFormatPr baseColWidth="10" defaultColWidth="20.83203125" defaultRowHeight="14" x14ac:dyDescent="0"/>
  <cols>
    <col min="1" max="1" width="14.6640625" style="31" customWidth="1"/>
    <col min="2" max="2" width="13.83203125" style="282" customWidth="1"/>
    <col min="3" max="3" width="55.5" style="31" customWidth="1"/>
    <col min="4" max="4" width="8.33203125" style="31" customWidth="1"/>
    <col min="5" max="5" width="17.33203125" style="31" customWidth="1"/>
    <col min="6" max="6" width="13.1640625" style="31" hidden="1" customWidth="1"/>
    <col min="7" max="7" width="10.83203125" style="31" hidden="1" customWidth="1"/>
    <col min="8" max="8" width="10.5" style="88" hidden="1" customWidth="1"/>
    <col min="9" max="9" width="11.1640625" style="88" customWidth="1"/>
    <col min="10" max="10" width="10.6640625" style="88" hidden="1" customWidth="1"/>
    <col min="11" max="11" width="11.5" style="31" hidden="1" customWidth="1"/>
    <col min="12" max="12" width="5.33203125" style="255" hidden="1" customWidth="1"/>
    <col min="13" max="13" width="7.6640625" style="31" hidden="1" customWidth="1"/>
    <col min="14" max="14" width="10.5" style="255" hidden="1" customWidth="1"/>
    <col min="15" max="15" width="9.5" style="31" customWidth="1"/>
    <col min="16" max="16" width="7" style="31" hidden="1" customWidth="1"/>
    <col min="17" max="17" width="11.5" style="31" hidden="1" customWidth="1"/>
    <col min="18" max="18" width="11.6640625" style="31" customWidth="1"/>
    <col min="19" max="19" width="12.1640625" style="88" hidden="1" customWidth="1"/>
    <col min="20" max="20" width="5.83203125" style="31" hidden="1" customWidth="1"/>
    <col min="21" max="21" width="7.5" style="31" hidden="1" customWidth="1"/>
    <col min="22" max="22" width="9.5" style="31" hidden="1" customWidth="1"/>
    <col min="23" max="23" width="8.6640625" style="31" customWidth="1"/>
    <col min="24" max="24" width="11.33203125" style="31" customWidth="1"/>
    <col min="25" max="25" width="20.83203125" style="88" customWidth="1"/>
    <col min="26" max="16384" width="20.83203125" style="31"/>
  </cols>
  <sheetData>
    <row r="4" spans="1:25" ht="15" thickBot="1"/>
    <row r="5" spans="1:25" ht="15" thickBot="1">
      <c r="A5" s="185" t="s">
        <v>289</v>
      </c>
      <c r="B5" s="128"/>
      <c r="C5" s="128"/>
      <c r="D5" s="128"/>
      <c r="E5" s="129"/>
      <c r="G5" s="88"/>
      <c r="J5" s="31"/>
      <c r="R5" s="88"/>
      <c r="X5" s="88"/>
    </row>
    <row r="6" spans="1:25" ht="15" thickBot="1">
      <c r="A6" s="188" t="s">
        <v>290</v>
      </c>
      <c r="B6" s="135"/>
      <c r="C6" s="135"/>
      <c r="D6" s="135"/>
      <c r="E6" s="136"/>
      <c r="G6" s="88"/>
      <c r="J6" s="31"/>
      <c r="R6" s="88"/>
      <c r="X6" s="88"/>
    </row>
    <row r="7" spans="1:25">
      <c r="A7" s="89" t="s">
        <v>291</v>
      </c>
      <c r="B7" s="278"/>
      <c r="C7" s="91"/>
      <c r="D7" s="91"/>
      <c r="E7" s="92"/>
      <c r="G7" s="88"/>
      <c r="J7" s="31"/>
      <c r="R7" s="88"/>
      <c r="X7" s="88"/>
    </row>
    <row r="8" spans="1:25" ht="15" thickBot="1">
      <c r="A8" s="258" t="s">
        <v>292</v>
      </c>
      <c r="B8" s="279"/>
      <c r="C8" s="259"/>
      <c r="D8" s="259"/>
      <c r="E8" s="260"/>
      <c r="G8" s="88"/>
      <c r="J8" s="31"/>
      <c r="R8" s="88"/>
      <c r="X8" s="88"/>
    </row>
    <row r="9" spans="1:25" ht="15" thickBot="1">
      <c r="A9" s="148" t="s">
        <v>293</v>
      </c>
      <c r="B9" s="280" t="s">
        <v>294</v>
      </c>
      <c r="C9" s="262">
        <v>41479</v>
      </c>
      <c r="D9" s="148" t="s">
        <v>295</v>
      </c>
      <c r="E9" s="262">
        <f>C9+14</f>
        <v>41493</v>
      </c>
      <c r="G9" s="88"/>
      <c r="J9" s="31"/>
      <c r="R9" s="88"/>
      <c r="X9" s="88"/>
    </row>
    <row r="10" spans="1:25" ht="15" thickBot="1">
      <c r="A10" s="191" t="s">
        <v>296</v>
      </c>
      <c r="B10" s="278">
        <f>I98</f>
        <v>19661.29</v>
      </c>
      <c r="C10" s="91"/>
      <c r="D10" s="91"/>
      <c r="E10" s="92"/>
      <c r="G10" s="88"/>
      <c r="J10" s="31"/>
      <c r="R10" s="88"/>
      <c r="X10" s="88"/>
    </row>
    <row r="11" spans="1:25" ht="15" thickBot="1">
      <c r="A11" s="193" t="s">
        <v>297</v>
      </c>
      <c r="B11" s="194"/>
      <c r="C11" s="264">
        <v>41449</v>
      </c>
      <c r="D11" s="154" t="s">
        <v>298</v>
      </c>
      <c r="E11" s="262">
        <v>41479</v>
      </c>
      <c r="G11" s="88"/>
      <c r="J11" s="31"/>
      <c r="R11" s="88"/>
      <c r="X11" s="88"/>
    </row>
    <row r="12" spans="1:25" ht="15" thickBot="1">
      <c r="A12" s="265" t="s">
        <v>299</v>
      </c>
      <c r="B12" s="281"/>
      <c r="C12" s="266"/>
      <c r="D12" s="266"/>
      <c r="E12" s="261"/>
      <c r="G12" s="88"/>
      <c r="J12" s="31"/>
      <c r="R12" s="88"/>
      <c r="X12" s="88"/>
    </row>
    <row r="13" spans="1:25" ht="15" thickBot="1">
      <c r="A13" s="195">
        <f>E11</f>
        <v>41479</v>
      </c>
      <c r="B13" s="281"/>
      <c r="C13" s="266"/>
      <c r="D13" s="266"/>
      <c r="E13" s="261"/>
      <c r="G13" s="88"/>
      <c r="J13" s="31"/>
      <c r="R13" s="88"/>
      <c r="X13" s="88"/>
    </row>
    <row r="14" spans="1:25" s="116" customFormat="1" ht="25.75" customHeight="1">
      <c r="A14" s="58" t="s">
        <v>370</v>
      </c>
      <c r="B14" s="274" t="s">
        <v>300</v>
      </c>
      <c r="C14" s="114" t="s">
        <v>301</v>
      </c>
      <c r="D14" s="114" t="s">
        <v>302</v>
      </c>
      <c r="E14" s="114" t="s">
        <v>303</v>
      </c>
      <c r="F14" s="114" t="s">
        <v>304</v>
      </c>
      <c r="G14" s="115" t="s">
        <v>305</v>
      </c>
      <c r="H14" s="115" t="s">
        <v>306</v>
      </c>
      <c r="I14" s="115" t="s">
        <v>307</v>
      </c>
      <c r="J14" s="114" t="s">
        <v>308</v>
      </c>
      <c r="K14" s="114" t="s">
        <v>309</v>
      </c>
      <c r="L14" s="114" t="s">
        <v>310</v>
      </c>
      <c r="M14" s="114" t="s">
        <v>311</v>
      </c>
      <c r="N14" s="114" t="s">
        <v>312</v>
      </c>
      <c r="O14" s="114" t="s">
        <v>313</v>
      </c>
      <c r="P14" s="114" t="s">
        <v>314</v>
      </c>
      <c r="Q14" s="114" t="s">
        <v>315</v>
      </c>
      <c r="R14" s="115" t="s">
        <v>316</v>
      </c>
      <c r="S14" s="114" t="s">
        <v>317</v>
      </c>
      <c r="T14" s="114" t="s">
        <v>318</v>
      </c>
      <c r="U14" s="114" t="s">
        <v>319</v>
      </c>
      <c r="V14" s="114" t="s">
        <v>320</v>
      </c>
      <c r="W14" s="114" t="s">
        <v>321</v>
      </c>
      <c r="X14" s="115" t="s">
        <v>322</v>
      </c>
    </row>
    <row r="15" spans="1:25" ht="13.5" customHeight="1">
      <c r="A15" s="270">
        <v>143027007</v>
      </c>
      <c r="B15" s="276" t="s">
        <v>323</v>
      </c>
      <c r="C15" s="119" t="s">
        <v>324</v>
      </c>
      <c r="D15" s="271" t="s">
        <v>325</v>
      </c>
      <c r="E15" s="119" t="s">
        <v>326</v>
      </c>
      <c r="F15" s="271" t="s">
        <v>325</v>
      </c>
      <c r="G15" s="120">
        <v>22.68</v>
      </c>
      <c r="H15" s="120">
        <v>0</v>
      </c>
      <c r="I15" s="120">
        <v>22.68</v>
      </c>
      <c r="J15" s="121">
        <v>41477</v>
      </c>
      <c r="K15" s="121">
        <v>41473</v>
      </c>
      <c r="L15" s="272">
        <v>30</v>
      </c>
      <c r="M15" s="119" t="s">
        <v>327</v>
      </c>
      <c r="N15" s="272" t="s">
        <v>328</v>
      </c>
      <c r="O15" s="122">
        <v>37</v>
      </c>
      <c r="R15" s="120">
        <v>22.68</v>
      </c>
      <c r="S15" s="31"/>
      <c r="U15" s="271" t="s">
        <v>325</v>
      </c>
      <c r="V15" s="271" t="s">
        <v>325</v>
      </c>
      <c r="X15" s="120">
        <v>0</v>
      </c>
      <c r="Y15" s="31"/>
    </row>
    <row r="16" spans="1:25" ht="13.5" customHeight="1">
      <c r="A16" s="270">
        <v>173880101</v>
      </c>
      <c r="B16" s="276" t="s">
        <v>323</v>
      </c>
      <c r="C16" s="119" t="s">
        <v>329</v>
      </c>
      <c r="D16" s="271" t="s">
        <v>325</v>
      </c>
      <c r="E16" s="119" t="s">
        <v>330</v>
      </c>
      <c r="F16" s="271" t="s">
        <v>325</v>
      </c>
      <c r="G16" s="120">
        <v>9.34</v>
      </c>
      <c r="H16" s="120">
        <v>0</v>
      </c>
      <c r="I16" s="120">
        <v>9.34</v>
      </c>
      <c r="J16" s="121">
        <v>41477</v>
      </c>
      <c r="K16" s="121">
        <v>41477</v>
      </c>
      <c r="L16" s="272">
        <v>32</v>
      </c>
      <c r="M16" s="119" t="s">
        <v>327</v>
      </c>
      <c r="N16" s="277" t="s">
        <v>325</v>
      </c>
      <c r="O16" s="122">
        <v>47</v>
      </c>
      <c r="R16" s="120">
        <v>9.34</v>
      </c>
      <c r="S16" s="31"/>
      <c r="U16" s="271" t="s">
        <v>325</v>
      </c>
      <c r="V16" s="271" t="s">
        <v>325</v>
      </c>
      <c r="X16" s="120">
        <v>0</v>
      </c>
      <c r="Y16" s="31"/>
    </row>
    <row r="17" spans="1:25" ht="13.5" customHeight="1">
      <c r="A17" s="270">
        <v>208811116</v>
      </c>
      <c r="B17" s="276" t="s">
        <v>323</v>
      </c>
      <c r="C17" s="119" t="s">
        <v>331</v>
      </c>
      <c r="D17" s="271" t="s">
        <v>325</v>
      </c>
      <c r="E17" s="119" t="s">
        <v>332</v>
      </c>
      <c r="F17" s="271" t="s">
        <v>325</v>
      </c>
      <c r="G17" s="120">
        <v>176.64</v>
      </c>
      <c r="H17" s="120">
        <v>0</v>
      </c>
      <c r="I17" s="120">
        <v>176.64</v>
      </c>
      <c r="J17" s="121">
        <v>41470</v>
      </c>
      <c r="K17" s="121">
        <v>41465</v>
      </c>
      <c r="L17" s="272">
        <v>30</v>
      </c>
      <c r="M17" s="119" t="s">
        <v>327</v>
      </c>
      <c r="N17" s="272" t="s">
        <v>333</v>
      </c>
      <c r="O17" s="122">
        <v>2034</v>
      </c>
      <c r="P17" s="122">
        <v>11</v>
      </c>
      <c r="Q17" s="122">
        <v>0.25681818181818183</v>
      </c>
      <c r="R17" s="120">
        <v>176.64</v>
      </c>
      <c r="S17" s="31"/>
      <c r="U17" s="271" t="s">
        <v>325</v>
      </c>
      <c r="V17" s="271" t="s">
        <v>325</v>
      </c>
      <c r="X17" s="120">
        <v>0</v>
      </c>
      <c r="Y17" s="31"/>
    </row>
    <row r="18" spans="1:25" ht="13.5" customHeight="1">
      <c r="A18" s="270">
        <v>248811109</v>
      </c>
      <c r="B18" s="276" t="s">
        <v>323</v>
      </c>
      <c r="C18" s="119" t="s">
        <v>334</v>
      </c>
      <c r="D18" s="271" t="s">
        <v>325</v>
      </c>
      <c r="E18" s="271" t="s">
        <v>325</v>
      </c>
      <c r="F18" s="119" t="s">
        <v>335</v>
      </c>
      <c r="G18" s="120">
        <v>41.97</v>
      </c>
      <c r="H18" s="120">
        <v>0</v>
      </c>
      <c r="I18" s="120">
        <v>41.97</v>
      </c>
      <c r="J18" s="121">
        <v>41470</v>
      </c>
      <c r="M18" s="271" t="s">
        <v>325</v>
      </c>
      <c r="N18" s="277" t="s">
        <v>325</v>
      </c>
      <c r="R18" s="120">
        <v>0</v>
      </c>
      <c r="S18" s="121">
        <v>41466</v>
      </c>
      <c r="T18" s="122">
        <v>29</v>
      </c>
      <c r="U18" s="119" t="s">
        <v>327</v>
      </c>
      <c r="V18" s="119" t="s">
        <v>336</v>
      </c>
      <c r="W18" s="122">
        <v>59</v>
      </c>
      <c r="X18" s="120">
        <v>41.97</v>
      </c>
      <c r="Y18" s="31"/>
    </row>
    <row r="19" spans="1:25" ht="13.5" customHeight="1">
      <c r="A19" s="270">
        <v>288811101</v>
      </c>
      <c r="B19" s="276" t="s">
        <v>323</v>
      </c>
      <c r="C19" s="119" t="s">
        <v>337</v>
      </c>
      <c r="D19" s="271" t="s">
        <v>325</v>
      </c>
      <c r="E19" s="119" t="s">
        <v>332</v>
      </c>
      <c r="F19" s="271" t="s">
        <v>325</v>
      </c>
      <c r="G19" s="120">
        <v>830.83</v>
      </c>
      <c r="H19" s="120">
        <v>0</v>
      </c>
      <c r="I19" s="120">
        <v>830.83</v>
      </c>
      <c r="J19" s="121">
        <v>41470</v>
      </c>
      <c r="K19" s="121">
        <v>41465</v>
      </c>
      <c r="L19" s="272">
        <v>30</v>
      </c>
      <c r="M19" s="119" t="s">
        <v>327</v>
      </c>
      <c r="N19" s="272" t="s">
        <v>338</v>
      </c>
      <c r="O19" s="122">
        <v>10880</v>
      </c>
      <c r="P19" s="122">
        <v>69.599999999999994</v>
      </c>
      <c r="Q19" s="122">
        <v>0.21711366538952745</v>
      </c>
      <c r="R19" s="120">
        <v>830.83</v>
      </c>
      <c r="S19" s="31"/>
      <c r="U19" s="271" t="s">
        <v>325</v>
      </c>
      <c r="V19" s="271" t="s">
        <v>325</v>
      </c>
      <c r="X19" s="120">
        <v>0</v>
      </c>
      <c r="Y19" s="31"/>
    </row>
    <row r="20" spans="1:25" ht="13.5" customHeight="1">
      <c r="A20" s="270">
        <v>293879106</v>
      </c>
      <c r="B20" s="276" t="s">
        <v>323</v>
      </c>
      <c r="C20" s="119" t="s">
        <v>339</v>
      </c>
      <c r="D20" s="119" t="s">
        <v>340</v>
      </c>
      <c r="E20" s="119" t="s">
        <v>330</v>
      </c>
      <c r="F20" s="271" t="s">
        <v>325</v>
      </c>
      <c r="G20" s="120">
        <v>239.62</v>
      </c>
      <c r="H20" s="120">
        <v>0</v>
      </c>
      <c r="I20" s="120">
        <v>239.62</v>
      </c>
      <c r="J20" s="121">
        <v>41477</v>
      </c>
      <c r="K20" s="121">
        <v>41477</v>
      </c>
      <c r="L20" s="272">
        <v>32</v>
      </c>
      <c r="M20" s="119" t="s">
        <v>327</v>
      </c>
      <c r="N20" s="277" t="s">
        <v>325</v>
      </c>
      <c r="O20" s="122">
        <v>579</v>
      </c>
      <c r="R20" s="120">
        <v>239.62</v>
      </c>
      <c r="S20" s="31"/>
      <c r="U20" s="271" t="s">
        <v>325</v>
      </c>
      <c r="V20" s="271" t="s">
        <v>325</v>
      </c>
      <c r="X20" s="120">
        <v>0</v>
      </c>
      <c r="Y20" s="31"/>
    </row>
    <row r="21" spans="1:25" ht="13.5" customHeight="1">
      <c r="A21" s="270">
        <v>308809118</v>
      </c>
      <c r="B21" s="276" t="s">
        <v>323</v>
      </c>
      <c r="C21" s="119" t="s">
        <v>341</v>
      </c>
      <c r="D21" s="271" t="s">
        <v>325</v>
      </c>
      <c r="E21" s="119" t="s">
        <v>342</v>
      </c>
      <c r="F21" s="119" t="s">
        <v>236</v>
      </c>
      <c r="G21" s="120">
        <v>72.290000000000006</v>
      </c>
      <c r="H21" s="120">
        <v>0</v>
      </c>
      <c r="I21" s="120">
        <v>72.290000000000006</v>
      </c>
      <c r="J21" s="121">
        <v>41470</v>
      </c>
      <c r="K21" s="121">
        <v>41466</v>
      </c>
      <c r="L21" s="272">
        <v>29</v>
      </c>
      <c r="M21" s="119" t="s">
        <v>327</v>
      </c>
      <c r="N21" s="272" t="s">
        <v>237</v>
      </c>
      <c r="O21" s="122">
        <v>300</v>
      </c>
      <c r="R21" s="120">
        <v>30.08</v>
      </c>
      <c r="S21" s="121">
        <v>41466</v>
      </c>
      <c r="T21" s="122">
        <v>29</v>
      </c>
      <c r="U21" s="119" t="s">
        <v>327</v>
      </c>
      <c r="V21" s="119" t="s">
        <v>238</v>
      </c>
      <c r="W21" s="122">
        <v>30</v>
      </c>
      <c r="X21" s="120">
        <v>42.21</v>
      </c>
      <c r="Y21" s="31"/>
    </row>
    <row r="22" spans="1:25" ht="13.5" customHeight="1">
      <c r="A22" s="270">
        <v>375074007</v>
      </c>
      <c r="B22" s="276" t="s">
        <v>323</v>
      </c>
      <c r="C22" s="119" t="s">
        <v>239</v>
      </c>
      <c r="D22" s="271" t="s">
        <v>325</v>
      </c>
      <c r="E22" s="119" t="s">
        <v>326</v>
      </c>
      <c r="F22" s="271" t="s">
        <v>325</v>
      </c>
      <c r="G22" s="120">
        <v>23.68</v>
      </c>
      <c r="H22" s="120">
        <v>23.68</v>
      </c>
      <c r="I22" s="120">
        <v>0</v>
      </c>
      <c r="J22" s="121">
        <v>41477</v>
      </c>
      <c r="M22" s="271" t="s">
        <v>325</v>
      </c>
      <c r="N22" s="272" t="s">
        <v>129</v>
      </c>
      <c r="R22" s="120">
        <v>0</v>
      </c>
      <c r="S22" s="31"/>
      <c r="U22" s="271" t="s">
        <v>325</v>
      </c>
      <c r="V22" s="271" t="s">
        <v>325</v>
      </c>
      <c r="X22" s="120">
        <v>0</v>
      </c>
      <c r="Y22" s="31"/>
    </row>
    <row r="23" spans="1:25" ht="13.5" customHeight="1">
      <c r="A23" s="270">
        <v>783104003</v>
      </c>
      <c r="B23" s="276" t="s">
        <v>323</v>
      </c>
      <c r="C23" s="119" t="s">
        <v>242</v>
      </c>
      <c r="D23" s="271" t="s">
        <v>325</v>
      </c>
      <c r="E23" s="119" t="s">
        <v>326</v>
      </c>
      <c r="F23" s="271" t="s">
        <v>325</v>
      </c>
      <c r="G23" s="120">
        <v>21.39</v>
      </c>
      <c r="H23" s="120">
        <v>0</v>
      </c>
      <c r="I23" s="120">
        <v>21.39</v>
      </c>
      <c r="J23" s="121">
        <v>41470</v>
      </c>
      <c r="K23" s="121">
        <v>41466</v>
      </c>
      <c r="L23" s="272">
        <v>29</v>
      </c>
      <c r="M23" s="119" t="s">
        <v>327</v>
      </c>
      <c r="N23" s="272" t="s">
        <v>243</v>
      </c>
      <c r="O23" s="122">
        <v>14</v>
      </c>
      <c r="R23" s="120">
        <v>21.39</v>
      </c>
      <c r="S23" s="31"/>
      <c r="U23" s="271" t="s">
        <v>325</v>
      </c>
      <c r="V23" s="271" t="s">
        <v>325</v>
      </c>
      <c r="X23" s="120">
        <v>0</v>
      </c>
      <c r="Y23" s="31"/>
    </row>
    <row r="24" spans="1:25" ht="13.5" customHeight="1">
      <c r="A24" s="270">
        <v>852028007</v>
      </c>
      <c r="B24" s="276" t="s">
        <v>323</v>
      </c>
      <c r="C24" s="119" t="s">
        <v>244</v>
      </c>
      <c r="D24" s="271" t="s">
        <v>325</v>
      </c>
      <c r="E24" s="271" t="s">
        <v>325</v>
      </c>
      <c r="F24" s="119" t="s">
        <v>335</v>
      </c>
      <c r="G24" s="120">
        <v>23.8</v>
      </c>
      <c r="H24" s="120">
        <v>0</v>
      </c>
      <c r="I24" s="120">
        <v>23.8</v>
      </c>
      <c r="J24" s="121">
        <v>41477</v>
      </c>
      <c r="M24" s="271" t="s">
        <v>325</v>
      </c>
      <c r="N24" s="277" t="s">
        <v>325</v>
      </c>
      <c r="R24" s="120">
        <v>0</v>
      </c>
      <c r="S24" s="121">
        <v>41473</v>
      </c>
      <c r="T24" s="122">
        <v>30</v>
      </c>
      <c r="U24" s="119" t="s">
        <v>327</v>
      </c>
      <c r="V24" s="119" t="s">
        <v>245</v>
      </c>
      <c r="W24" s="122">
        <v>1</v>
      </c>
      <c r="X24" s="120">
        <v>23.8</v>
      </c>
      <c r="Y24" s="31"/>
    </row>
    <row r="25" spans="1:25" ht="13.5" customHeight="1">
      <c r="A25" s="270">
        <v>893816110</v>
      </c>
      <c r="B25" s="276" t="s">
        <v>323</v>
      </c>
      <c r="C25" s="119" t="s">
        <v>246</v>
      </c>
      <c r="D25" s="271" t="s">
        <v>325</v>
      </c>
      <c r="E25" s="119" t="s">
        <v>326</v>
      </c>
      <c r="F25" s="271" t="s">
        <v>325</v>
      </c>
      <c r="G25" s="120">
        <v>25.72</v>
      </c>
      <c r="H25" s="120">
        <v>0</v>
      </c>
      <c r="I25" s="120">
        <v>25.72</v>
      </c>
      <c r="J25" s="121">
        <v>41478</v>
      </c>
      <c r="K25" s="121">
        <v>41472</v>
      </c>
      <c r="L25" s="272">
        <v>29</v>
      </c>
      <c r="M25" s="119" t="s">
        <v>130</v>
      </c>
      <c r="N25" s="272" t="s">
        <v>247</v>
      </c>
      <c r="O25" s="122">
        <v>92</v>
      </c>
      <c r="R25" s="120">
        <v>25.72</v>
      </c>
      <c r="S25" s="31"/>
      <c r="U25" s="271" t="s">
        <v>325</v>
      </c>
      <c r="V25" s="271" t="s">
        <v>325</v>
      </c>
      <c r="X25" s="120">
        <v>0</v>
      </c>
      <c r="Y25" s="31"/>
    </row>
    <row r="26" spans="1:25" ht="13.5" customHeight="1">
      <c r="A26" s="270">
        <v>893819102</v>
      </c>
      <c r="B26" s="276" t="s">
        <v>323</v>
      </c>
      <c r="C26" s="119" t="s">
        <v>248</v>
      </c>
      <c r="D26" s="271" t="s">
        <v>325</v>
      </c>
      <c r="E26" s="271" t="s">
        <v>325</v>
      </c>
      <c r="F26" s="119" t="s">
        <v>335</v>
      </c>
      <c r="G26" s="120">
        <v>23.77</v>
      </c>
      <c r="H26" s="120">
        <v>0</v>
      </c>
      <c r="I26" s="120">
        <v>23.77</v>
      </c>
      <c r="J26" s="121">
        <v>41477</v>
      </c>
      <c r="M26" s="271" t="s">
        <v>325</v>
      </c>
      <c r="N26" s="277" t="s">
        <v>325</v>
      </c>
      <c r="R26" s="120">
        <v>0</v>
      </c>
      <c r="S26" s="121">
        <v>41473</v>
      </c>
      <c r="T26" s="122">
        <v>30</v>
      </c>
      <c r="U26" s="119" t="s">
        <v>327</v>
      </c>
      <c r="V26" s="119" t="s">
        <v>249</v>
      </c>
      <c r="W26" s="122">
        <v>0</v>
      </c>
      <c r="X26" s="120">
        <v>23.77</v>
      </c>
      <c r="Y26" s="31"/>
    </row>
    <row r="27" spans="1:25" ht="13.5" customHeight="1">
      <c r="A27" s="270">
        <v>913819100</v>
      </c>
      <c r="B27" s="276" t="s">
        <v>323</v>
      </c>
      <c r="C27" s="119" t="s">
        <v>250</v>
      </c>
      <c r="D27" s="271" t="s">
        <v>325</v>
      </c>
      <c r="E27" s="271" t="s">
        <v>325</v>
      </c>
      <c r="F27" s="119" t="s">
        <v>335</v>
      </c>
      <c r="G27" s="120">
        <v>23.77</v>
      </c>
      <c r="H27" s="120">
        <v>0</v>
      </c>
      <c r="I27" s="120">
        <v>23.77</v>
      </c>
      <c r="J27" s="121">
        <v>41477</v>
      </c>
      <c r="M27" s="271" t="s">
        <v>325</v>
      </c>
      <c r="N27" s="277" t="s">
        <v>325</v>
      </c>
      <c r="R27" s="120">
        <v>0</v>
      </c>
      <c r="S27" s="121">
        <v>41473</v>
      </c>
      <c r="T27" s="122">
        <v>30</v>
      </c>
      <c r="U27" s="119" t="s">
        <v>327</v>
      </c>
      <c r="V27" s="119" t="s">
        <v>251</v>
      </c>
      <c r="W27" s="122">
        <v>0</v>
      </c>
      <c r="X27" s="120">
        <v>23.77</v>
      </c>
      <c r="Y27" s="31"/>
    </row>
    <row r="28" spans="1:25" ht="13.5" customHeight="1">
      <c r="A28" s="270">
        <v>933819115</v>
      </c>
      <c r="B28" s="276" t="s">
        <v>323</v>
      </c>
      <c r="C28" s="119" t="s">
        <v>252</v>
      </c>
      <c r="D28" s="271" t="s">
        <v>325</v>
      </c>
      <c r="E28" s="271" t="s">
        <v>325</v>
      </c>
      <c r="F28" s="119" t="s">
        <v>335</v>
      </c>
      <c r="G28" s="120">
        <v>23.77</v>
      </c>
      <c r="H28" s="120">
        <v>0</v>
      </c>
      <c r="I28" s="120">
        <v>23.77</v>
      </c>
      <c r="J28" s="121">
        <v>41477</v>
      </c>
      <c r="M28" s="271" t="s">
        <v>325</v>
      </c>
      <c r="N28" s="277" t="s">
        <v>325</v>
      </c>
      <c r="R28" s="120">
        <v>0</v>
      </c>
      <c r="S28" s="121">
        <v>41473</v>
      </c>
      <c r="T28" s="122">
        <v>30</v>
      </c>
      <c r="U28" s="119" t="s">
        <v>327</v>
      </c>
      <c r="V28" s="119" t="s">
        <v>253</v>
      </c>
      <c r="W28" s="122">
        <v>0</v>
      </c>
      <c r="X28" s="120">
        <v>23.77</v>
      </c>
      <c r="Y28" s="31"/>
    </row>
    <row r="29" spans="1:25" ht="13.5" customHeight="1">
      <c r="A29" s="270">
        <v>948810124</v>
      </c>
      <c r="B29" s="276" t="s">
        <v>323</v>
      </c>
      <c r="C29" s="119" t="s">
        <v>254</v>
      </c>
      <c r="D29" s="271" t="s">
        <v>325</v>
      </c>
      <c r="E29" s="119" t="s">
        <v>255</v>
      </c>
      <c r="F29" s="271" t="s">
        <v>325</v>
      </c>
      <c r="G29" s="120">
        <v>110.81</v>
      </c>
      <c r="H29" s="120">
        <v>0</v>
      </c>
      <c r="I29" s="120">
        <v>110.81</v>
      </c>
      <c r="J29" s="121">
        <v>41470</v>
      </c>
      <c r="K29" s="121">
        <v>41465</v>
      </c>
      <c r="L29" s="272">
        <v>30</v>
      </c>
      <c r="M29" s="119" t="s">
        <v>327</v>
      </c>
      <c r="N29" s="272" t="s">
        <v>256</v>
      </c>
      <c r="O29" s="122">
        <v>713</v>
      </c>
      <c r="R29" s="120">
        <v>110.81</v>
      </c>
      <c r="S29" s="31"/>
      <c r="U29" s="271" t="s">
        <v>325</v>
      </c>
      <c r="V29" s="271" t="s">
        <v>325</v>
      </c>
      <c r="X29" s="120">
        <v>0</v>
      </c>
      <c r="Y29" s="31"/>
    </row>
    <row r="30" spans="1:25" ht="13.5" customHeight="1">
      <c r="A30" s="270">
        <v>1028809119</v>
      </c>
      <c r="B30" s="276" t="s">
        <v>323</v>
      </c>
      <c r="C30" s="119" t="s">
        <v>257</v>
      </c>
      <c r="D30" s="271" t="s">
        <v>325</v>
      </c>
      <c r="E30" s="119" t="s">
        <v>255</v>
      </c>
      <c r="F30" s="271" t="s">
        <v>325</v>
      </c>
      <c r="G30" s="120">
        <v>20.62</v>
      </c>
      <c r="H30" s="120">
        <v>0</v>
      </c>
      <c r="I30" s="120">
        <v>20.62</v>
      </c>
      <c r="J30" s="121">
        <v>41470</v>
      </c>
      <c r="K30" s="121">
        <v>41466</v>
      </c>
      <c r="L30" s="272">
        <v>29</v>
      </c>
      <c r="M30" s="119" t="s">
        <v>327</v>
      </c>
      <c r="N30" s="272" t="s">
        <v>258</v>
      </c>
      <c r="O30" s="122">
        <v>0</v>
      </c>
      <c r="R30" s="120">
        <v>20.62</v>
      </c>
      <c r="S30" s="31"/>
      <c r="U30" s="271" t="s">
        <v>325</v>
      </c>
      <c r="V30" s="271" t="s">
        <v>325</v>
      </c>
      <c r="X30" s="120">
        <v>0</v>
      </c>
      <c r="Y30" s="31"/>
    </row>
    <row r="31" spans="1:25" ht="13.5" customHeight="1">
      <c r="A31" s="270">
        <v>1133133008</v>
      </c>
      <c r="B31" s="276" t="s">
        <v>323</v>
      </c>
      <c r="C31" s="119" t="s">
        <v>259</v>
      </c>
      <c r="D31" s="271" t="s">
        <v>325</v>
      </c>
      <c r="E31" s="119" t="s">
        <v>326</v>
      </c>
      <c r="F31" s="271" t="s">
        <v>325</v>
      </c>
      <c r="G31" s="120">
        <v>60.64</v>
      </c>
      <c r="H31" s="120">
        <v>31.3</v>
      </c>
      <c r="I31" s="120">
        <v>29.34</v>
      </c>
      <c r="J31" s="121">
        <v>41463</v>
      </c>
      <c r="K31" s="121">
        <v>41460</v>
      </c>
      <c r="L31" s="272">
        <v>30</v>
      </c>
      <c r="M31" s="119" t="s">
        <v>327</v>
      </c>
      <c r="N31" s="272" t="s">
        <v>260</v>
      </c>
      <c r="O31" s="122">
        <v>157</v>
      </c>
      <c r="R31" s="120">
        <v>29.34</v>
      </c>
      <c r="S31" s="31"/>
      <c r="U31" s="271" t="s">
        <v>325</v>
      </c>
      <c r="V31" s="271" t="s">
        <v>325</v>
      </c>
      <c r="X31" s="120">
        <v>0</v>
      </c>
      <c r="Y31" s="31"/>
    </row>
    <row r="32" spans="1:25" ht="13.5" customHeight="1">
      <c r="A32" s="270">
        <v>1133819101</v>
      </c>
      <c r="B32" s="276" t="s">
        <v>323</v>
      </c>
      <c r="C32" s="119" t="s">
        <v>261</v>
      </c>
      <c r="D32" s="271" t="s">
        <v>325</v>
      </c>
      <c r="E32" s="119" t="s">
        <v>326</v>
      </c>
      <c r="F32" s="119" t="s">
        <v>325</v>
      </c>
      <c r="G32" s="120">
        <v>45.55</v>
      </c>
      <c r="H32" s="120">
        <v>0</v>
      </c>
      <c r="I32" s="120">
        <v>45.55</v>
      </c>
      <c r="J32" s="121">
        <v>41477</v>
      </c>
      <c r="K32" s="121">
        <v>41473</v>
      </c>
      <c r="L32" s="272">
        <v>30</v>
      </c>
      <c r="M32" s="119" t="s">
        <v>327</v>
      </c>
      <c r="N32" s="272" t="s">
        <v>262</v>
      </c>
      <c r="O32" s="122">
        <v>448</v>
      </c>
      <c r="R32" s="120">
        <v>45.55</v>
      </c>
      <c r="S32" s="31"/>
      <c r="U32" s="119" t="s">
        <v>325</v>
      </c>
      <c r="V32" s="119" t="s">
        <v>325</v>
      </c>
      <c r="X32" s="120">
        <v>0</v>
      </c>
      <c r="Y32" s="31"/>
    </row>
    <row r="33" spans="1:25" ht="13.5" customHeight="1">
      <c r="A33" s="270">
        <v>1193808115</v>
      </c>
      <c r="B33" s="276" t="s">
        <v>323</v>
      </c>
      <c r="C33" s="119" t="s">
        <v>263</v>
      </c>
      <c r="D33" s="119" t="s">
        <v>325</v>
      </c>
      <c r="E33" s="119" t="s">
        <v>326</v>
      </c>
      <c r="F33" s="119" t="s">
        <v>325</v>
      </c>
      <c r="G33" s="120">
        <v>24.58</v>
      </c>
      <c r="H33" s="120">
        <v>0</v>
      </c>
      <c r="I33" s="120">
        <v>24.58</v>
      </c>
      <c r="J33" s="121">
        <v>41477</v>
      </c>
      <c r="K33" s="121">
        <v>41474</v>
      </c>
      <c r="L33" s="272">
        <v>31</v>
      </c>
      <c r="M33" s="119" t="s">
        <v>327</v>
      </c>
      <c r="N33" s="272" t="s">
        <v>264</v>
      </c>
      <c r="O33" s="122">
        <v>71</v>
      </c>
      <c r="R33" s="120">
        <v>24.58</v>
      </c>
      <c r="S33" s="31"/>
      <c r="U33" s="119" t="s">
        <v>325</v>
      </c>
      <c r="V33" s="119" t="s">
        <v>325</v>
      </c>
      <c r="X33" s="120">
        <v>0</v>
      </c>
      <c r="Y33" s="31"/>
    </row>
    <row r="34" spans="1:25" ht="13.5" customHeight="1">
      <c r="A34" s="270">
        <v>1492627005</v>
      </c>
      <c r="B34" s="276" t="s">
        <v>323</v>
      </c>
      <c r="C34" s="119" t="s">
        <v>265</v>
      </c>
      <c r="D34" s="119" t="s">
        <v>325</v>
      </c>
      <c r="E34" s="119" t="s">
        <v>326</v>
      </c>
      <c r="F34" s="119" t="s">
        <v>325</v>
      </c>
      <c r="G34" s="120">
        <v>25.35</v>
      </c>
      <c r="H34" s="120">
        <v>0</v>
      </c>
      <c r="I34" s="120">
        <v>25.35</v>
      </c>
      <c r="J34" s="121">
        <v>41470</v>
      </c>
      <c r="K34" s="121">
        <v>41466</v>
      </c>
      <c r="L34" s="272">
        <v>29</v>
      </c>
      <c r="M34" s="119" t="s">
        <v>327</v>
      </c>
      <c r="N34" s="272" t="s">
        <v>266</v>
      </c>
      <c r="O34" s="122">
        <v>85</v>
      </c>
      <c r="R34" s="120">
        <v>25.35</v>
      </c>
      <c r="S34" s="31"/>
      <c r="U34" s="119" t="s">
        <v>325</v>
      </c>
      <c r="V34" s="119" t="s">
        <v>325</v>
      </c>
      <c r="X34" s="120">
        <v>0</v>
      </c>
      <c r="Y34" s="31"/>
    </row>
    <row r="35" spans="1:25" ht="13.5" customHeight="1">
      <c r="A35" s="270">
        <v>1513818115</v>
      </c>
      <c r="B35" s="276" t="s">
        <v>323</v>
      </c>
      <c r="C35" s="119" t="s">
        <v>267</v>
      </c>
      <c r="D35" s="119" t="s">
        <v>325</v>
      </c>
      <c r="E35" s="119" t="s">
        <v>326</v>
      </c>
      <c r="F35" s="119" t="s">
        <v>325</v>
      </c>
      <c r="G35" s="120">
        <v>30.34</v>
      </c>
      <c r="H35" s="120">
        <v>0</v>
      </c>
      <c r="I35" s="120">
        <v>30.34</v>
      </c>
      <c r="J35" s="121">
        <v>41477</v>
      </c>
      <c r="K35" s="121">
        <v>41473</v>
      </c>
      <c r="L35" s="272">
        <v>30</v>
      </c>
      <c r="M35" s="119" t="s">
        <v>327</v>
      </c>
      <c r="N35" s="272" t="s">
        <v>268</v>
      </c>
      <c r="O35" s="122">
        <v>175</v>
      </c>
      <c r="R35" s="120">
        <v>30.34</v>
      </c>
      <c r="S35" s="31"/>
      <c r="U35" s="119" t="s">
        <v>325</v>
      </c>
      <c r="V35" s="119" t="s">
        <v>325</v>
      </c>
      <c r="X35" s="120">
        <v>0</v>
      </c>
      <c r="Y35" s="31"/>
    </row>
    <row r="36" spans="1:25" ht="13.5" customHeight="1">
      <c r="A36" s="270">
        <v>1608811106</v>
      </c>
      <c r="B36" s="276" t="s">
        <v>323</v>
      </c>
      <c r="C36" s="119" t="s">
        <v>337</v>
      </c>
      <c r="D36" s="119" t="s">
        <v>325</v>
      </c>
      <c r="E36" s="119" t="s">
        <v>332</v>
      </c>
      <c r="F36" s="119" t="s">
        <v>325</v>
      </c>
      <c r="G36" s="120">
        <v>630.45000000000005</v>
      </c>
      <c r="H36" s="120">
        <v>0</v>
      </c>
      <c r="I36" s="120">
        <v>630.45000000000005</v>
      </c>
      <c r="J36" s="121">
        <v>41470</v>
      </c>
      <c r="K36" s="121">
        <v>41465</v>
      </c>
      <c r="L36" s="272">
        <v>30</v>
      </c>
      <c r="M36" s="119" t="s">
        <v>327</v>
      </c>
      <c r="N36" s="272" t="s">
        <v>111</v>
      </c>
      <c r="O36" s="122">
        <v>5096</v>
      </c>
      <c r="P36" s="122">
        <v>53</v>
      </c>
      <c r="Q36" s="122">
        <v>0.13354297693920336</v>
      </c>
      <c r="R36" s="120">
        <v>630.45000000000005</v>
      </c>
      <c r="S36" s="31"/>
      <c r="U36" s="119" t="s">
        <v>325</v>
      </c>
      <c r="V36" s="119" t="s">
        <v>325</v>
      </c>
      <c r="X36" s="120">
        <v>0</v>
      </c>
      <c r="Y36" s="31"/>
    </row>
    <row r="37" spans="1:25" ht="13.5" customHeight="1">
      <c r="A37" s="270">
        <v>1653819107</v>
      </c>
      <c r="B37" s="276" t="s">
        <v>323</v>
      </c>
      <c r="C37" s="119" t="s">
        <v>270</v>
      </c>
      <c r="D37" s="119" t="s">
        <v>325</v>
      </c>
      <c r="E37" s="119" t="s">
        <v>326</v>
      </c>
      <c r="F37" s="119" t="s">
        <v>325</v>
      </c>
      <c r="G37" s="120">
        <v>66.77</v>
      </c>
      <c r="H37" s="120">
        <v>0</v>
      </c>
      <c r="I37" s="120">
        <v>66.77</v>
      </c>
      <c r="J37" s="121">
        <v>41477</v>
      </c>
      <c r="K37" s="121">
        <v>41473</v>
      </c>
      <c r="L37" s="272">
        <v>30</v>
      </c>
      <c r="M37" s="119" t="s">
        <v>327</v>
      </c>
      <c r="N37" s="272" t="s">
        <v>271</v>
      </c>
      <c r="O37" s="122">
        <v>830</v>
      </c>
      <c r="R37" s="120">
        <v>66.77</v>
      </c>
      <c r="S37" s="31"/>
      <c r="U37" s="119" t="s">
        <v>325</v>
      </c>
      <c r="V37" s="119" t="s">
        <v>325</v>
      </c>
      <c r="X37" s="120">
        <v>0</v>
      </c>
      <c r="Y37" s="31"/>
    </row>
    <row r="38" spans="1:25" ht="13.5" customHeight="1">
      <c r="A38" s="270">
        <v>1833820108</v>
      </c>
      <c r="B38" s="276" t="s">
        <v>323</v>
      </c>
      <c r="C38" s="119" t="s">
        <v>272</v>
      </c>
      <c r="D38" s="119" t="s">
        <v>325</v>
      </c>
      <c r="E38" s="119" t="s">
        <v>326</v>
      </c>
      <c r="F38" s="119" t="s">
        <v>325</v>
      </c>
      <c r="G38" s="120">
        <v>67.5</v>
      </c>
      <c r="H38" s="120">
        <v>0</v>
      </c>
      <c r="I38" s="120">
        <v>67.5</v>
      </c>
      <c r="J38" s="121">
        <v>41477</v>
      </c>
      <c r="K38" s="121">
        <v>41473</v>
      </c>
      <c r="L38" s="272">
        <v>30</v>
      </c>
      <c r="M38" s="119" t="s">
        <v>327</v>
      </c>
      <c r="N38" s="272" t="s">
        <v>273</v>
      </c>
      <c r="O38" s="122">
        <v>843</v>
      </c>
      <c r="R38" s="120">
        <v>67.5</v>
      </c>
      <c r="S38" s="31"/>
      <c r="U38" s="119" t="s">
        <v>325</v>
      </c>
      <c r="V38" s="119" t="s">
        <v>325</v>
      </c>
      <c r="X38" s="120">
        <v>0</v>
      </c>
      <c r="Y38" s="31"/>
    </row>
    <row r="39" spans="1:25" ht="13.5" customHeight="1">
      <c r="A39" s="270">
        <v>1851009009</v>
      </c>
      <c r="B39" s="276" t="s">
        <v>323</v>
      </c>
      <c r="C39" s="119" t="s">
        <v>274</v>
      </c>
      <c r="D39" s="119" t="s">
        <v>325</v>
      </c>
      <c r="E39" s="119" t="s">
        <v>326</v>
      </c>
      <c r="F39" s="271" t="s">
        <v>325</v>
      </c>
      <c r="G39" s="120">
        <v>44.6</v>
      </c>
      <c r="H39" s="120">
        <v>0</v>
      </c>
      <c r="I39" s="120">
        <v>44.6</v>
      </c>
      <c r="J39" s="121">
        <v>41477</v>
      </c>
      <c r="K39" s="121">
        <v>41473</v>
      </c>
      <c r="L39" s="272">
        <v>30</v>
      </c>
      <c r="M39" s="119" t="s">
        <v>327</v>
      </c>
      <c r="N39" s="272" t="s">
        <v>275</v>
      </c>
      <c r="O39" s="122">
        <v>431</v>
      </c>
      <c r="R39" s="120">
        <v>44.6</v>
      </c>
      <c r="S39" s="31"/>
      <c r="U39" s="271" t="s">
        <v>325</v>
      </c>
      <c r="V39" s="271" t="s">
        <v>325</v>
      </c>
      <c r="X39" s="120">
        <v>0</v>
      </c>
      <c r="Y39" s="31"/>
    </row>
    <row r="40" spans="1:25" ht="13.5" customHeight="1">
      <c r="A40" s="270">
        <v>1933810131</v>
      </c>
      <c r="B40" s="276" t="s">
        <v>323</v>
      </c>
      <c r="C40" s="119" t="s">
        <v>276</v>
      </c>
      <c r="D40" s="271" t="s">
        <v>325</v>
      </c>
      <c r="E40" s="119" t="s">
        <v>332</v>
      </c>
      <c r="F40" s="119" t="s">
        <v>277</v>
      </c>
      <c r="G40" s="120">
        <v>317.38</v>
      </c>
      <c r="H40" s="120">
        <v>0</v>
      </c>
      <c r="I40" s="120">
        <v>317.38</v>
      </c>
      <c r="J40" s="121">
        <v>41477</v>
      </c>
      <c r="K40" s="121">
        <v>41472</v>
      </c>
      <c r="L40" s="272">
        <v>30</v>
      </c>
      <c r="M40" s="119" t="s">
        <v>327</v>
      </c>
      <c r="N40" s="272" t="s">
        <v>278</v>
      </c>
      <c r="O40" s="122">
        <v>10544</v>
      </c>
      <c r="P40" s="122">
        <v>18.399999999999999</v>
      </c>
      <c r="Q40" s="122">
        <v>0.79589371980676338</v>
      </c>
      <c r="R40" s="120">
        <v>293.20999999999998</v>
      </c>
      <c r="S40" s="121">
        <v>41473</v>
      </c>
      <c r="T40" s="122">
        <v>30</v>
      </c>
      <c r="U40" s="119" t="s">
        <v>327</v>
      </c>
      <c r="V40" s="119" t="s">
        <v>279</v>
      </c>
      <c r="W40" s="122">
        <v>0</v>
      </c>
      <c r="X40" s="120">
        <v>24.17</v>
      </c>
      <c r="Y40" s="31"/>
    </row>
    <row r="41" spans="1:25" ht="13.5" customHeight="1">
      <c r="A41" s="270">
        <v>2133819102</v>
      </c>
      <c r="B41" s="276" t="s">
        <v>323</v>
      </c>
      <c r="C41" s="119" t="s">
        <v>280</v>
      </c>
      <c r="D41" s="271" t="s">
        <v>325</v>
      </c>
      <c r="E41" s="119" t="s">
        <v>332</v>
      </c>
      <c r="F41" s="271" t="s">
        <v>325</v>
      </c>
      <c r="G41" s="120">
        <v>228.81</v>
      </c>
      <c r="H41" s="120">
        <v>0</v>
      </c>
      <c r="I41" s="120">
        <v>228.81</v>
      </c>
      <c r="J41" s="121">
        <v>41477</v>
      </c>
      <c r="K41" s="121">
        <v>41472</v>
      </c>
      <c r="L41" s="272">
        <v>30</v>
      </c>
      <c r="M41" s="119" t="s">
        <v>327</v>
      </c>
      <c r="N41" s="272" t="s">
        <v>112</v>
      </c>
      <c r="O41" s="122">
        <v>855</v>
      </c>
      <c r="P41" s="122">
        <v>16.5</v>
      </c>
      <c r="Q41" s="122">
        <v>7.1969696969696975E-2</v>
      </c>
      <c r="R41" s="120">
        <v>228.81</v>
      </c>
      <c r="S41" s="31"/>
      <c r="U41" s="271" t="s">
        <v>325</v>
      </c>
      <c r="V41" s="271" t="s">
        <v>325</v>
      </c>
      <c r="X41" s="120">
        <v>0</v>
      </c>
      <c r="Y41" s="31"/>
    </row>
    <row r="42" spans="1:25" ht="13.5" customHeight="1">
      <c r="A42" s="270">
        <v>2133821120</v>
      </c>
      <c r="B42" s="276" t="s">
        <v>323</v>
      </c>
      <c r="C42" s="119" t="s">
        <v>194</v>
      </c>
      <c r="D42" s="271" t="s">
        <v>325</v>
      </c>
      <c r="E42" s="119" t="s">
        <v>326</v>
      </c>
      <c r="F42" s="271" t="s">
        <v>325</v>
      </c>
      <c r="G42" s="120">
        <v>33.51</v>
      </c>
      <c r="H42" s="120">
        <v>0</v>
      </c>
      <c r="I42" s="120">
        <v>33.51</v>
      </c>
      <c r="J42" s="121">
        <v>41477</v>
      </c>
      <c r="K42" s="121">
        <v>41474</v>
      </c>
      <c r="L42" s="272">
        <v>31</v>
      </c>
      <c r="M42" s="119" t="s">
        <v>327</v>
      </c>
      <c r="N42" s="272" t="s">
        <v>195</v>
      </c>
      <c r="O42" s="122">
        <v>232</v>
      </c>
      <c r="R42" s="120">
        <v>33.51</v>
      </c>
      <c r="S42" s="31"/>
      <c r="U42" s="271" t="s">
        <v>325</v>
      </c>
      <c r="V42" s="271" t="s">
        <v>325</v>
      </c>
      <c r="X42" s="120">
        <v>0</v>
      </c>
      <c r="Y42" s="31"/>
    </row>
    <row r="43" spans="1:25" ht="13.5" customHeight="1">
      <c r="A43" s="270">
        <v>2137454018</v>
      </c>
      <c r="B43" s="276" t="s">
        <v>323</v>
      </c>
      <c r="C43" s="119" t="s">
        <v>196</v>
      </c>
      <c r="D43" s="271" t="s">
        <v>325</v>
      </c>
      <c r="E43" s="119" t="s">
        <v>255</v>
      </c>
      <c r="F43" s="271" t="s">
        <v>325</v>
      </c>
      <c r="G43" s="120">
        <v>21.12</v>
      </c>
      <c r="H43" s="120">
        <v>0</v>
      </c>
      <c r="I43" s="120">
        <v>21.12</v>
      </c>
      <c r="J43" s="121">
        <v>41477</v>
      </c>
      <c r="K43" s="121">
        <v>41473</v>
      </c>
      <c r="L43" s="272">
        <v>30</v>
      </c>
      <c r="M43" s="119" t="s">
        <v>327</v>
      </c>
      <c r="N43" s="272" t="s">
        <v>197</v>
      </c>
      <c r="O43" s="122">
        <v>4</v>
      </c>
      <c r="R43" s="120">
        <v>21.12</v>
      </c>
      <c r="S43" s="31"/>
      <c r="U43" s="271" t="s">
        <v>325</v>
      </c>
      <c r="V43" s="271" t="s">
        <v>325</v>
      </c>
      <c r="X43" s="120">
        <v>0</v>
      </c>
      <c r="Y43" s="31"/>
    </row>
    <row r="44" spans="1:25" ht="13.5" customHeight="1">
      <c r="A44" s="270">
        <v>2217686007</v>
      </c>
      <c r="B44" s="276" t="s">
        <v>323</v>
      </c>
      <c r="C44" s="119" t="s">
        <v>198</v>
      </c>
      <c r="D44" s="271" t="s">
        <v>325</v>
      </c>
      <c r="E44" s="119" t="s">
        <v>255</v>
      </c>
      <c r="F44" s="271" t="s">
        <v>325</v>
      </c>
      <c r="G44" s="120">
        <v>54.63</v>
      </c>
      <c r="H44" s="120">
        <v>0</v>
      </c>
      <c r="I44" s="120">
        <v>54.63</v>
      </c>
      <c r="J44" s="121">
        <v>41477</v>
      </c>
      <c r="K44" s="121">
        <v>41473</v>
      </c>
      <c r="L44" s="272">
        <v>29</v>
      </c>
      <c r="M44" s="119" t="s">
        <v>327</v>
      </c>
      <c r="N44" s="272" t="s">
        <v>199</v>
      </c>
      <c r="O44" s="122">
        <v>263</v>
      </c>
      <c r="R44" s="120">
        <v>54.63</v>
      </c>
      <c r="S44" s="31"/>
      <c r="U44" s="271" t="s">
        <v>325</v>
      </c>
      <c r="V44" s="271" t="s">
        <v>325</v>
      </c>
      <c r="X44" s="120">
        <v>0</v>
      </c>
      <c r="Y44" s="31"/>
    </row>
    <row r="45" spans="1:25" ht="13.5" customHeight="1">
      <c r="A45" s="270">
        <v>2480127108</v>
      </c>
      <c r="B45" s="276" t="s">
        <v>323</v>
      </c>
      <c r="C45" s="119" t="s">
        <v>200</v>
      </c>
      <c r="D45" s="271" t="s">
        <v>325</v>
      </c>
      <c r="E45" s="119" t="s">
        <v>201</v>
      </c>
      <c r="F45" s="271" t="s">
        <v>325</v>
      </c>
      <c r="G45" s="120">
        <v>88.37</v>
      </c>
      <c r="H45" s="120">
        <v>44.42</v>
      </c>
      <c r="I45" s="120">
        <v>43.95</v>
      </c>
      <c r="J45" s="121">
        <v>41456</v>
      </c>
      <c r="K45" s="121">
        <v>41456</v>
      </c>
      <c r="L45" s="272">
        <v>28</v>
      </c>
      <c r="M45" s="119" t="s">
        <v>327</v>
      </c>
      <c r="N45" s="277" t="s">
        <v>325</v>
      </c>
      <c r="O45" s="122">
        <v>332</v>
      </c>
      <c r="R45" s="120">
        <v>43.95</v>
      </c>
      <c r="S45" s="31"/>
      <c r="U45" s="271" t="s">
        <v>325</v>
      </c>
      <c r="V45" s="271" t="s">
        <v>325</v>
      </c>
      <c r="X45" s="120">
        <v>0</v>
      </c>
      <c r="Y45" s="31"/>
    </row>
    <row r="46" spans="1:25" ht="13.5" customHeight="1">
      <c r="A46" s="270">
        <v>2533809113</v>
      </c>
      <c r="B46" s="276" t="s">
        <v>323</v>
      </c>
      <c r="C46" s="119" t="s">
        <v>202</v>
      </c>
      <c r="D46" s="271" t="s">
        <v>325</v>
      </c>
      <c r="E46" s="119" t="s">
        <v>326</v>
      </c>
      <c r="F46" s="119" t="s">
        <v>277</v>
      </c>
      <c r="G46" s="120">
        <v>96.68</v>
      </c>
      <c r="H46" s="120">
        <v>0</v>
      </c>
      <c r="I46" s="120">
        <v>96.68</v>
      </c>
      <c r="J46" s="121">
        <v>41477</v>
      </c>
      <c r="K46" s="121">
        <v>41473</v>
      </c>
      <c r="L46" s="272">
        <v>30</v>
      </c>
      <c r="M46" s="119" t="s">
        <v>327</v>
      </c>
      <c r="N46" s="272" t="s">
        <v>116</v>
      </c>
      <c r="O46" s="122">
        <v>933</v>
      </c>
      <c r="R46" s="120">
        <v>72.510000000000005</v>
      </c>
      <c r="S46" s="121">
        <v>41473</v>
      </c>
      <c r="T46" s="122">
        <v>30</v>
      </c>
      <c r="U46" s="119" t="s">
        <v>327</v>
      </c>
      <c r="V46" s="119" t="s">
        <v>204</v>
      </c>
      <c r="W46" s="122">
        <v>0</v>
      </c>
      <c r="X46" s="120">
        <v>24.17</v>
      </c>
      <c r="Y46" s="31"/>
    </row>
    <row r="47" spans="1:25" ht="13.5" customHeight="1">
      <c r="A47" s="270">
        <v>2693810107</v>
      </c>
      <c r="B47" s="276" t="s">
        <v>323</v>
      </c>
      <c r="C47" s="119" t="s">
        <v>205</v>
      </c>
      <c r="D47" s="271" t="s">
        <v>325</v>
      </c>
      <c r="E47" s="119" t="s">
        <v>332</v>
      </c>
      <c r="F47" s="271" t="s">
        <v>325</v>
      </c>
      <c r="G47" s="120">
        <v>728.07</v>
      </c>
      <c r="H47" s="120">
        <v>340.57</v>
      </c>
      <c r="I47" s="120">
        <v>387.5</v>
      </c>
      <c r="J47" s="121">
        <v>41463</v>
      </c>
      <c r="K47" s="121">
        <v>41442</v>
      </c>
      <c r="L47" s="272">
        <v>31</v>
      </c>
      <c r="M47" s="119" t="s">
        <v>327</v>
      </c>
      <c r="N47" s="272" t="s">
        <v>206</v>
      </c>
      <c r="O47" s="122">
        <v>1840</v>
      </c>
      <c r="P47" s="122">
        <v>30.4</v>
      </c>
      <c r="Q47" s="122">
        <v>8.1352574985851731E-2</v>
      </c>
      <c r="R47" s="120">
        <v>387.5</v>
      </c>
      <c r="S47" s="31"/>
      <c r="U47" s="271" t="s">
        <v>325</v>
      </c>
      <c r="V47" s="271" t="s">
        <v>325</v>
      </c>
      <c r="X47" s="120">
        <v>0</v>
      </c>
      <c r="Y47" s="31"/>
    </row>
    <row r="48" spans="1:25" ht="13.5" customHeight="1">
      <c r="A48" s="270">
        <v>2703112003</v>
      </c>
      <c r="B48" s="276" t="s">
        <v>323</v>
      </c>
      <c r="C48" s="119" t="s">
        <v>207</v>
      </c>
      <c r="D48" s="271" t="s">
        <v>325</v>
      </c>
      <c r="E48" s="119" t="s">
        <v>332</v>
      </c>
      <c r="F48" s="271" t="s">
        <v>325</v>
      </c>
      <c r="G48" s="120">
        <v>916.44</v>
      </c>
      <c r="H48" s="120">
        <v>0</v>
      </c>
      <c r="I48" s="120">
        <v>916.44</v>
      </c>
      <c r="J48" s="121">
        <v>41470</v>
      </c>
      <c r="K48" s="121">
        <v>41465</v>
      </c>
      <c r="L48" s="272">
        <v>30</v>
      </c>
      <c r="M48" s="119" t="s">
        <v>327</v>
      </c>
      <c r="N48" s="272" t="s">
        <v>208</v>
      </c>
      <c r="O48" s="122">
        <v>3307</v>
      </c>
      <c r="P48" s="122">
        <v>81.099999999999994</v>
      </c>
      <c r="Q48" s="122">
        <v>5.6634470475407594E-2</v>
      </c>
      <c r="R48" s="120">
        <v>916.44</v>
      </c>
      <c r="S48" s="31"/>
      <c r="U48" s="271" t="s">
        <v>325</v>
      </c>
      <c r="V48" s="271" t="s">
        <v>325</v>
      </c>
      <c r="X48" s="120">
        <v>0</v>
      </c>
      <c r="Y48" s="31"/>
    </row>
    <row r="49" spans="1:25" ht="13.5" customHeight="1">
      <c r="A49" s="270">
        <v>2773821106</v>
      </c>
      <c r="B49" s="276" t="s">
        <v>323</v>
      </c>
      <c r="C49" s="119" t="s">
        <v>209</v>
      </c>
      <c r="D49" s="271" t="s">
        <v>325</v>
      </c>
      <c r="E49" s="119" t="s">
        <v>255</v>
      </c>
      <c r="F49" s="271" t="s">
        <v>325</v>
      </c>
      <c r="G49" s="120">
        <v>20.62</v>
      </c>
      <c r="H49" s="120">
        <v>0</v>
      </c>
      <c r="I49" s="120">
        <v>20.62</v>
      </c>
      <c r="J49" s="121">
        <v>41477</v>
      </c>
      <c r="K49" s="121">
        <v>41474</v>
      </c>
      <c r="L49" s="272">
        <v>30</v>
      </c>
      <c r="M49" s="119" t="s">
        <v>327</v>
      </c>
      <c r="N49" s="272" t="s">
        <v>210</v>
      </c>
      <c r="O49" s="122">
        <v>0</v>
      </c>
      <c r="R49" s="120">
        <v>20.62</v>
      </c>
      <c r="S49" s="31"/>
      <c r="U49" s="271" t="s">
        <v>325</v>
      </c>
      <c r="V49" s="271" t="s">
        <v>325</v>
      </c>
      <c r="X49" s="120">
        <v>0</v>
      </c>
      <c r="Y49" s="31"/>
    </row>
    <row r="50" spans="1:25" ht="13.5" customHeight="1">
      <c r="A50" s="270">
        <v>2856106004</v>
      </c>
      <c r="B50" s="276" t="s">
        <v>323</v>
      </c>
      <c r="C50" s="119" t="s">
        <v>211</v>
      </c>
      <c r="D50" s="271" t="s">
        <v>325</v>
      </c>
      <c r="E50" s="271" t="s">
        <v>325</v>
      </c>
      <c r="F50" s="119" t="s">
        <v>335</v>
      </c>
      <c r="G50" s="120">
        <v>24.52</v>
      </c>
      <c r="H50" s="120">
        <v>0</v>
      </c>
      <c r="I50" s="120">
        <v>24.52</v>
      </c>
      <c r="J50" s="121">
        <v>41470</v>
      </c>
      <c r="M50" s="271" t="s">
        <v>325</v>
      </c>
      <c r="N50" s="277" t="s">
        <v>325</v>
      </c>
      <c r="R50" s="120">
        <v>0</v>
      </c>
      <c r="S50" s="121">
        <v>41466</v>
      </c>
      <c r="T50" s="122">
        <v>29</v>
      </c>
      <c r="U50" s="119" t="s">
        <v>327</v>
      </c>
      <c r="V50" s="119" t="s">
        <v>212</v>
      </c>
      <c r="W50" s="122">
        <v>5</v>
      </c>
      <c r="X50" s="120">
        <v>24.52</v>
      </c>
      <c r="Y50" s="31"/>
    </row>
    <row r="51" spans="1:25" ht="13.5" customHeight="1">
      <c r="A51" s="270">
        <v>2860127100</v>
      </c>
      <c r="B51" s="276" t="s">
        <v>323</v>
      </c>
      <c r="C51" s="119" t="s">
        <v>213</v>
      </c>
      <c r="D51" s="271" t="s">
        <v>325</v>
      </c>
      <c r="E51" s="119" t="s">
        <v>201</v>
      </c>
      <c r="F51" s="271" t="s">
        <v>325</v>
      </c>
      <c r="G51" s="120">
        <v>109.28</v>
      </c>
      <c r="H51" s="120">
        <v>54.86</v>
      </c>
      <c r="I51" s="120">
        <v>54.42</v>
      </c>
      <c r="J51" s="121">
        <v>41456</v>
      </c>
      <c r="K51" s="121">
        <v>41456</v>
      </c>
      <c r="L51" s="272">
        <v>28</v>
      </c>
      <c r="M51" s="119" t="s">
        <v>327</v>
      </c>
      <c r="N51" s="277" t="s">
        <v>325</v>
      </c>
      <c r="O51" s="122">
        <v>312</v>
      </c>
      <c r="R51" s="120">
        <v>54.42</v>
      </c>
      <c r="S51" s="31"/>
      <c r="U51" s="271" t="s">
        <v>325</v>
      </c>
      <c r="V51" s="271" t="s">
        <v>325</v>
      </c>
      <c r="X51" s="120">
        <v>0</v>
      </c>
      <c r="Y51" s="31"/>
    </row>
    <row r="52" spans="1:25" ht="13.5" customHeight="1">
      <c r="A52" s="270">
        <v>3040127109</v>
      </c>
      <c r="B52" s="276" t="s">
        <v>323</v>
      </c>
      <c r="C52" s="119" t="s">
        <v>214</v>
      </c>
      <c r="D52" s="271" t="s">
        <v>325</v>
      </c>
      <c r="E52" s="119" t="s">
        <v>201</v>
      </c>
      <c r="F52" s="271" t="s">
        <v>325</v>
      </c>
      <c r="G52" s="120">
        <v>112.63</v>
      </c>
      <c r="H52" s="120">
        <v>56.55</v>
      </c>
      <c r="I52" s="120">
        <v>56.08</v>
      </c>
      <c r="J52" s="121">
        <v>41456</v>
      </c>
      <c r="K52" s="121">
        <v>41456</v>
      </c>
      <c r="L52" s="272">
        <v>28</v>
      </c>
      <c r="M52" s="119" t="s">
        <v>327</v>
      </c>
      <c r="N52" s="277" t="s">
        <v>325</v>
      </c>
      <c r="O52" s="122">
        <v>326</v>
      </c>
      <c r="R52" s="120">
        <v>56.08</v>
      </c>
      <c r="S52" s="31"/>
      <c r="U52" s="271" t="s">
        <v>325</v>
      </c>
      <c r="V52" s="271" t="s">
        <v>325</v>
      </c>
      <c r="X52" s="120">
        <v>0</v>
      </c>
      <c r="Y52" s="31"/>
    </row>
    <row r="53" spans="1:25" ht="13.5" customHeight="1">
      <c r="A53" s="270">
        <v>3128810107</v>
      </c>
      <c r="B53" s="276" t="s">
        <v>323</v>
      </c>
      <c r="C53" s="119" t="s">
        <v>215</v>
      </c>
      <c r="D53" s="271" t="s">
        <v>325</v>
      </c>
      <c r="E53" s="119" t="s">
        <v>326</v>
      </c>
      <c r="F53" s="271" t="s">
        <v>325</v>
      </c>
      <c r="G53" s="120">
        <v>20.89</v>
      </c>
      <c r="H53" s="120">
        <v>0</v>
      </c>
      <c r="I53" s="120">
        <v>20.89</v>
      </c>
      <c r="J53" s="121">
        <v>41470</v>
      </c>
      <c r="K53" s="121">
        <v>41466</v>
      </c>
      <c r="L53" s="272">
        <v>29</v>
      </c>
      <c r="M53" s="119" t="s">
        <v>327</v>
      </c>
      <c r="N53" s="272" t="s">
        <v>216</v>
      </c>
      <c r="O53" s="122">
        <v>5</v>
      </c>
      <c r="R53" s="120">
        <v>20.89</v>
      </c>
      <c r="S53" s="31"/>
      <c r="U53" s="271" t="s">
        <v>325</v>
      </c>
      <c r="V53" s="271" t="s">
        <v>325</v>
      </c>
      <c r="X53" s="120">
        <v>0</v>
      </c>
      <c r="Y53" s="31"/>
    </row>
    <row r="54" spans="1:25" ht="13.5" customHeight="1">
      <c r="A54" s="270">
        <v>3195056004</v>
      </c>
      <c r="B54" s="276" t="s">
        <v>323</v>
      </c>
      <c r="C54" s="119" t="s">
        <v>217</v>
      </c>
      <c r="D54" s="271" t="s">
        <v>325</v>
      </c>
      <c r="E54" s="119" t="s">
        <v>326</v>
      </c>
      <c r="F54" s="271" t="s">
        <v>325</v>
      </c>
      <c r="G54" s="120">
        <v>21.17</v>
      </c>
      <c r="H54" s="120">
        <v>0</v>
      </c>
      <c r="I54" s="120">
        <v>21.17</v>
      </c>
      <c r="J54" s="121">
        <v>41477</v>
      </c>
      <c r="K54" s="121">
        <v>41473</v>
      </c>
      <c r="L54" s="272">
        <v>30</v>
      </c>
      <c r="M54" s="119" t="s">
        <v>327</v>
      </c>
      <c r="N54" s="272" t="s">
        <v>218</v>
      </c>
      <c r="O54" s="122">
        <v>10</v>
      </c>
      <c r="R54" s="120">
        <v>21.17</v>
      </c>
      <c r="S54" s="31"/>
      <c r="U54" s="271" t="s">
        <v>325</v>
      </c>
      <c r="V54" s="271" t="s">
        <v>325</v>
      </c>
      <c r="X54" s="120">
        <v>0</v>
      </c>
      <c r="Y54" s="31"/>
    </row>
    <row r="55" spans="1:25" ht="13.5" customHeight="1">
      <c r="A55" s="270">
        <v>3273812135</v>
      </c>
      <c r="B55" s="276" t="s">
        <v>323</v>
      </c>
      <c r="C55" s="119" t="s">
        <v>219</v>
      </c>
      <c r="D55" s="271" t="s">
        <v>325</v>
      </c>
      <c r="E55" s="119" t="s">
        <v>326</v>
      </c>
      <c r="F55" s="119" t="s">
        <v>277</v>
      </c>
      <c r="G55" s="120">
        <v>81.61</v>
      </c>
      <c r="H55" s="120">
        <v>0</v>
      </c>
      <c r="I55" s="120">
        <v>81.61</v>
      </c>
      <c r="J55" s="121">
        <v>41477</v>
      </c>
      <c r="K55" s="121">
        <v>41472</v>
      </c>
      <c r="L55" s="272">
        <v>30</v>
      </c>
      <c r="M55" s="119" t="s">
        <v>327</v>
      </c>
      <c r="N55" s="272" t="s">
        <v>125</v>
      </c>
      <c r="O55" s="122">
        <v>640</v>
      </c>
      <c r="R55" s="120">
        <v>56.21</v>
      </c>
      <c r="S55" s="121">
        <v>41473</v>
      </c>
      <c r="T55" s="122">
        <v>30</v>
      </c>
      <c r="U55" s="119" t="s">
        <v>327</v>
      </c>
      <c r="V55" s="119" t="s">
        <v>221</v>
      </c>
      <c r="W55" s="122">
        <v>3</v>
      </c>
      <c r="X55" s="120">
        <v>25.4</v>
      </c>
      <c r="Y55" s="31"/>
    </row>
    <row r="56" spans="1:25" ht="13.5" customHeight="1">
      <c r="A56" s="270">
        <v>3293820115</v>
      </c>
      <c r="B56" s="276" t="s">
        <v>323</v>
      </c>
      <c r="C56" s="119" t="s">
        <v>222</v>
      </c>
      <c r="D56" s="271" t="s">
        <v>325</v>
      </c>
      <c r="E56" s="271" t="s">
        <v>325</v>
      </c>
      <c r="F56" s="119" t="s">
        <v>335</v>
      </c>
      <c r="G56" s="120">
        <v>23.84</v>
      </c>
      <c r="H56" s="120">
        <v>0</v>
      </c>
      <c r="I56" s="120">
        <v>23.84</v>
      </c>
      <c r="J56" s="121">
        <v>41477</v>
      </c>
      <c r="M56" s="271" t="s">
        <v>325</v>
      </c>
      <c r="N56" s="277" t="s">
        <v>325</v>
      </c>
      <c r="R56" s="120">
        <v>0</v>
      </c>
      <c r="S56" s="121">
        <v>41473</v>
      </c>
      <c r="T56" s="122">
        <v>30</v>
      </c>
      <c r="U56" s="119" t="s">
        <v>327</v>
      </c>
      <c r="V56" s="119" t="s">
        <v>223</v>
      </c>
      <c r="W56" s="122">
        <v>2</v>
      </c>
      <c r="X56" s="120">
        <v>23.84</v>
      </c>
      <c r="Y56" s="31"/>
    </row>
    <row r="57" spans="1:25" ht="13.5" customHeight="1">
      <c r="A57" s="270">
        <v>3448808118</v>
      </c>
      <c r="B57" s="276" t="s">
        <v>323</v>
      </c>
      <c r="C57" s="119" t="s">
        <v>224</v>
      </c>
      <c r="D57" s="271" t="s">
        <v>325</v>
      </c>
      <c r="E57" s="119" t="s">
        <v>326</v>
      </c>
      <c r="F57" s="271" t="s">
        <v>325</v>
      </c>
      <c r="G57" s="120">
        <v>91.76</v>
      </c>
      <c r="H57" s="120">
        <v>0</v>
      </c>
      <c r="I57" s="120">
        <v>91.76</v>
      </c>
      <c r="J57" s="121">
        <v>41470</v>
      </c>
      <c r="K57" s="121">
        <v>41466</v>
      </c>
      <c r="L57" s="272">
        <v>62</v>
      </c>
      <c r="M57" s="119" t="s">
        <v>327</v>
      </c>
      <c r="N57" s="272" t="s">
        <v>126</v>
      </c>
      <c r="O57" s="122">
        <v>859</v>
      </c>
      <c r="R57" s="120">
        <v>91.76</v>
      </c>
      <c r="S57" s="31"/>
      <c r="U57" s="271" t="s">
        <v>325</v>
      </c>
      <c r="V57" s="271" t="s">
        <v>325</v>
      </c>
      <c r="X57" s="120">
        <v>0</v>
      </c>
      <c r="Y57" s="31"/>
    </row>
    <row r="58" spans="1:25" ht="13.5" customHeight="1">
      <c r="A58" s="270">
        <v>3632395006</v>
      </c>
      <c r="B58" s="276" t="s">
        <v>323</v>
      </c>
      <c r="C58" s="119" t="s">
        <v>226</v>
      </c>
      <c r="D58" s="271" t="s">
        <v>325</v>
      </c>
      <c r="E58" s="119" t="s">
        <v>326</v>
      </c>
      <c r="F58" s="271" t="s">
        <v>325</v>
      </c>
      <c r="G58" s="120">
        <v>21.06</v>
      </c>
      <c r="H58" s="120">
        <v>0</v>
      </c>
      <c r="I58" s="120">
        <v>21.06</v>
      </c>
      <c r="J58" s="121">
        <v>41470</v>
      </c>
      <c r="K58" s="121">
        <v>41466</v>
      </c>
      <c r="L58" s="272">
        <v>29</v>
      </c>
      <c r="M58" s="119" t="s">
        <v>327</v>
      </c>
      <c r="N58" s="272" t="s">
        <v>227</v>
      </c>
      <c r="O58" s="122">
        <v>8</v>
      </c>
      <c r="R58" s="120">
        <v>21.06</v>
      </c>
      <c r="S58" s="31"/>
      <c r="U58" s="271" t="s">
        <v>325</v>
      </c>
      <c r="V58" s="271" t="s">
        <v>325</v>
      </c>
      <c r="X58" s="120">
        <v>0</v>
      </c>
      <c r="Y58" s="31"/>
    </row>
    <row r="59" spans="1:25" ht="13.5" customHeight="1">
      <c r="A59" s="270">
        <v>3753663109</v>
      </c>
      <c r="B59" s="276" t="s">
        <v>323</v>
      </c>
      <c r="C59" s="119" t="s">
        <v>228</v>
      </c>
      <c r="D59" s="271" t="s">
        <v>325</v>
      </c>
      <c r="E59" s="119" t="s">
        <v>330</v>
      </c>
      <c r="F59" s="271" t="s">
        <v>325</v>
      </c>
      <c r="G59" s="120">
        <v>197.73</v>
      </c>
      <c r="H59" s="120">
        <v>0</v>
      </c>
      <c r="I59" s="120">
        <v>197.73</v>
      </c>
      <c r="J59" s="121">
        <v>41477</v>
      </c>
      <c r="K59" s="121">
        <v>41477</v>
      </c>
      <c r="L59" s="272">
        <v>32</v>
      </c>
      <c r="M59" s="119" t="s">
        <v>327</v>
      </c>
      <c r="N59" s="277" t="s">
        <v>325</v>
      </c>
      <c r="O59" s="122">
        <v>139</v>
      </c>
      <c r="R59" s="120">
        <v>199.23</v>
      </c>
      <c r="S59" s="31"/>
      <c r="U59" s="271" t="s">
        <v>325</v>
      </c>
      <c r="V59" s="271" t="s">
        <v>325</v>
      </c>
      <c r="X59" s="120">
        <v>0</v>
      </c>
      <c r="Y59" s="31"/>
    </row>
    <row r="60" spans="1:25" ht="13.5" customHeight="1">
      <c r="A60" s="270">
        <v>3798043001</v>
      </c>
      <c r="B60" s="276" t="s">
        <v>323</v>
      </c>
      <c r="C60" s="119" t="s">
        <v>229</v>
      </c>
      <c r="D60" s="271" t="s">
        <v>325</v>
      </c>
      <c r="E60" s="119" t="s">
        <v>255</v>
      </c>
      <c r="F60" s="271" t="s">
        <v>325</v>
      </c>
      <c r="G60" s="120">
        <v>43.82</v>
      </c>
      <c r="H60" s="120">
        <v>43.82</v>
      </c>
      <c r="I60" s="120">
        <v>0</v>
      </c>
      <c r="J60" s="121">
        <v>41446</v>
      </c>
      <c r="K60" s="121">
        <v>41444</v>
      </c>
      <c r="L60" s="272">
        <v>29</v>
      </c>
      <c r="M60" s="119" t="s">
        <v>327</v>
      </c>
      <c r="N60" s="272" t="s">
        <v>230</v>
      </c>
      <c r="O60" s="122">
        <v>8</v>
      </c>
      <c r="R60" s="120">
        <v>21.78</v>
      </c>
      <c r="S60" s="31"/>
      <c r="U60" s="271" t="s">
        <v>325</v>
      </c>
      <c r="V60" s="271" t="s">
        <v>325</v>
      </c>
      <c r="X60" s="120">
        <v>0</v>
      </c>
      <c r="Y60" s="31"/>
    </row>
    <row r="61" spans="1:25" ht="13.5" customHeight="1">
      <c r="A61" s="270">
        <v>3908811104</v>
      </c>
      <c r="B61" s="276" t="s">
        <v>323</v>
      </c>
      <c r="C61" s="119" t="s">
        <v>231</v>
      </c>
      <c r="D61" s="271" t="s">
        <v>325</v>
      </c>
      <c r="E61" s="119" t="s">
        <v>326</v>
      </c>
      <c r="F61" s="271" t="s">
        <v>325</v>
      </c>
      <c r="G61" s="120">
        <v>131.27000000000001</v>
      </c>
      <c r="H61" s="120">
        <v>0</v>
      </c>
      <c r="I61" s="120">
        <v>131.27000000000001</v>
      </c>
      <c r="J61" s="121">
        <v>41470</v>
      </c>
      <c r="K61" s="121">
        <v>41468</v>
      </c>
      <c r="L61" s="272">
        <v>31</v>
      </c>
      <c r="M61" s="119" t="s">
        <v>327</v>
      </c>
      <c r="N61" s="272" t="s">
        <v>232</v>
      </c>
      <c r="O61" s="122">
        <v>1990</v>
      </c>
      <c r="R61" s="120">
        <v>131.27000000000001</v>
      </c>
      <c r="S61" s="31"/>
      <c r="U61" s="271" t="s">
        <v>325</v>
      </c>
      <c r="V61" s="271" t="s">
        <v>325</v>
      </c>
      <c r="X61" s="120">
        <v>0</v>
      </c>
      <c r="Y61" s="31"/>
    </row>
    <row r="62" spans="1:25" ht="13.5" customHeight="1">
      <c r="A62" s="270">
        <v>4153807100</v>
      </c>
      <c r="B62" s="276" t="s">
        <v>323</v>
      </c>
      <c r="C62" s="119" t="s">
        <v>233</v>
      </c>
      <c r="D62" s="271" t="s">
        <v>325</v>
      </c>
      <c r="E62" s="119" t="s">
        <v>326</v>
      </c>
      <c r="F62" s="119" t="s">
        <v>277</v>
      </c>
      <c r="G62" s="120">
        <v>56.8</v>
      </c>
      <c r="H62" s="120">
        <v>0</v>
      </c>
      <c r="I62" s="120">
        <v>56.8</v>
      </c>
      <c r="J62" s="121">
        <v>41477</v>
      </c>
      <c r="K62" s="121">
        <v>41473</v>
      </c>
      <c r="L62" s="272">
        <v>30</v>
      </c>
      <c r="M62" s="119" t="s">
        <v>327</v>
      </c>
      <c r="N62" s="272" t="s">
        <v>234</v>
      </c>
      <c r="O62" s="122">
        <v>209</v>
      </c>
      <c r="R62" s="120">
        <v>32.24</v>
      </c>
      <c r="S62" s="121">
        <v>41473</v>
      </c>
      <c r="T62" s="122">
        <v>30</v>
      </c>
      <c r="U62" s="119" t="s">
        <v>327</v>
      </c>
      <c r="V62" s="119" t="s">
        <v>235</v>
      </c>
      <c r="W62" s="122">
        <v>1</v>
      </c>
      <c r="X62" s="120">
        <v>24.56</v>
      </c>
      <c r="Y62" s="31"/>
    </row>
    <row r="63" spans="1:25" ht="13.5" customHeight="1">
      <c r="A63" s="270">
        <v>4153820112</v>
      </c>
      <c r="B63" s="276" t="s">
        <v>323</v>
      </c>
      <c r="C63" s="119" t="s">
        <v>147</v>
      </c>
      <c r="D63" s="271" t="s">
        <v>325</v>
      </c>
      <c r="E63" s="119" t="s">
        <v>332</v>
      </c>
      <c r="F63" s="271" t="s">
        <v>325</v>
      </c>
      <c r="G63" s="120">
        <v>419.93</v>
      </c>
      <c r="H63" s="120">
        <v>419.93</v>
      </c>
      <c r="I63" s="120">
        <v>0</v>
      </c>
      <c r="J63" s="121">
        <v>41445</v>
      </c>
      <c r="K63" s="121">
        <v>41443</v>
      </c>
      <c r="L63" s="272">
        <v>32</v>
      </c>
      <c r="M63" s="119" t="s">
        <v>327</v>
      </c>
      <c r="N63" s="272" t="s">
        <v>131</v>
      </c>
      <c r="O63" s="122">
        <v>14233</v>
      </c>
      <c r="P63" s="122">
        <v>22.5</v>
      </c>
      <c r="Q63" s="122">
        <v>0.8236689814814816</v>
      </c>
      <c r="R63" s="120">
        <v>419.93</v>
      </c>
      <c r="S63" s="31"/>
      <c r="U63" s="271" t="s">
        <v>325</v>
      </c>
      <c r="V63" s="271" t="s">
        <v>325</v>
      </c>
      <c r="X63" s="120">
        <v>0</v>
      </c>
      <c r="Y63" s="31"/>
    </row>
    <row r="64" spans="1:25" ht="13.5" customHeight="1">
      <c r="A64" s="270">
        <v>4308810115</v>
      </c>
      <c r="B64" s="276" t="s">
        <v>323</v>
      </c>
      <c r="C64" s="119" t="s">
        <v>149</v>
      </c>
      <c r="D64" s="271" t="s">
        <v>325</v>
      </c>
      <c r="E64" s="119" t="s">
        <v>326</v>
      </c>
      <c r="F64" s="271" t="s">
        <v>325</v>
      </c>
      <c r="G64" s="120">
        <v>92.8</v>
      </c>
      <c r="H64" s="120">
        <v>0</v>
      </c>
      <c r="I64" s="120">
        <v>92.8</v>
      </c>
      <c r="J64" s="121">
        <v>41470</v>
      </c>
      <c r="K64" s="121">
        <v>41465</v>
      </c>
      <c r="L64" s="272">
        <v>30</v>
      </c>
      <c r="M64" s="119" t="s">
        <v>327</v>
      </c>
      <c r="N64" s="272" t="s">
        <v>113</v>
      </c>
      <c r="O64" s="122">
        <v>1298</v>
      </c>
      <c r="R64" s="120">
        <v>92.8</v>
      </c>
      <c r="S64" s="31"/>
      <c r="U64" s="271" t="s">
        <v>325</v>
      </c>
      <c r="V64" s="271" t="s">
        <v>325</v>
      </c>
      <c r="X64" s="120">
        <v>0</v>
      </c>
      <c r="Y64" s="31"/>
    </row>
    <row r="65" spans="1:25" ht="13.5" customHeight="1">
      <c r="A65" s="270">
        <v>4399122004</v>
      </c>
      <c r="B65" s="276" t="s">
        <v>323</v>
      </c>
      <c r="C65" s="119" t="s">
        <v>151</v>
      </c>
      <c r="D65" s="271" t="s">
        <v>325</v>
      </c>
      <c r="E65" s="271" t="s">
        <v>325</v>
      </c>
      <c r="F65" s="119" t="s">
        <v>335</v>
      </c>
      <c r="G65" s="120">
        <v>23.77</v>
      </c>
      <c r="H65" s="120">
        <v>0</v>
      </c>
      <c r="I65" s="120">
        <v>23.77</v>
      </c>
      <c r="J65" s="121">
        <v>41477</v>
      </c>
      <c r="M65" s="271" t="s">
        <v>325</v>
      </c>
      <c r="N65" s="277" t="s">
        <v>325</v>
      </c>
      <c r="R65" s="120">
        <v>0</v>
      </c>
      <c r="S65" s="121">
        <v>41473</v>
      </c>
      <c r="T65" s="122">
        <v>30</v>
      </c>
      <c r="U65" s="119" t="s">
        <v>327</v>
      </c>
      <c r="V65" s="119" t="s">
        <v>152</v>
      </c>
      <c r="W65" s="122">
        <v>0</v>
      </c>
      <c r="X65" s="120">
        <v>23.77</v>
      </c>
      <c r="Y65" s="31"/>
    </row>
    <row r="66" spans="1:25" ht="13.5" customHeight="1">
      <c r="A66" s="270">
        <v>4513814101</v>
      </c>
      <c r="B66" s="276" t="s">
        <v>323</v>
      </c>
      <c r="C66" s="119" t="s">
        <v>153</v>
      </c>
      <c r="D66" s="271" t="s">
        <v>325</v>
      </c>
      <c r="E66" s="119" t="s">
        <v>332</v>
      </c>
      <c r="F66" s="119" t="s">
        <v>277</v>
      </c>
      <c r="G66" s="120">
        <v>170</v>
      </c>
      <c r="H66" s="120">
        <v>0</v>
      </c>
      <c r="I66" s="120">
        <v>170</v>
      </c>
      <c r="J66" s="121">
        <v>41477</v>
      </c>
      <c r="K66" s="121">
        <v>41472</v>
      </c>
      <c r="L66" s="272">
        <v>30</v>
      </c>
      <c r="M66" s="119" t="s">
        <v>327</v>
      </c>
      <c r="N66" s="272" t="s">
        <v>117</v>
      </c>
      <c r="O66" s="122">
        <v>2064</v>
      </c>
      <c r="P66" s="122">
        <v>7.6</v>
      </c>
      <c r="Q66" s="122">
        <v>0.37719298245614036</v>
      </c>
      <c r="R66" s="120">
        <v>141.18</v>
      </c>
      <c r="S66" s="121">
        <v>41473</v>
      </c>
      <c r="T66" s="122">
        <v>30</v>
      </c>
      <c r="U66" s="119" t="s">
        <v>327</v>
      </c>
      <c r="V66" s="119" t="s">
        <v>155</v>
      </c>
      <c r="W66" s="122">
        <v>8</v>
      </c>
      <c r="X66" s="120">
        <v>28.82</v>
      </c>
      <c r="Y66" s="31"/>
    </row>
    <row r="67" spans="1:25" ht="13.5" customHeight="1">
      <c r="A67" s="270">
        <v>4533881110</v>
      </c>
      <c r="B67" s="276" t="s">
        <v>323</v>
      </c>
      <c r="C67" s="119" t="s">
        <v>156</v>
      </c>
      <c r="D67" s="119" t="s">
        <v>157</v>
      </c>
      <c r="E67" s="119" t="s">
        <v>158</v>
      </c>
      <c r="F67" s="271" t="s">
        <v>325</v>
      </c>
      <c r="G67" s="120">
        <v>27.74</v>
      </c>
      <c r="H67" s="120">
        <v>0</v>
      </c>
      <c r="I67" s="120">
        <v>27.74</v>
      </c>
      <c r="J67" s="121">
        <v>41477</v>
      </c>
      <c r="K67" s="121">
        <v>41477</v>
      </c>
      <c r="L67" s="272">
        <v>32</v>
      </c>
      <c r="M67" s="119" t="s">
        <v>327</v>
      </c>
      <c r="N67" s="277" t="s">
        <v>325</v>
      </c>
      <c r="O67" s="122">
        <v>175</v>
      </c>
      <c r="R67" s="120">
        <v>27.74</v>
      </c>
      <c r="S67" s="31"/>
      <c r="U67" s="271" t="s">
        <v>325</v>
      </c>
      <c r="V67" s="271" t="s">
        <v>325</v>
      </c>
      <c r="X67" s="120">
        <v>0</v>
      </c>
      <c r="Y67" s="31"/>
    </row>
    <row r="68" spans="1:25" ht="13.5" customHeight="1">
      <c r="A68" s="270">
        <v>4568811105</v>
      </c>
      <c r="B68" s="276" t="s">
        <v>323</v>
      </c>
      <c r="C68" s="119" t="s">
        <v>159</v>
      </c>
      <c r="D68" s="271" t="s">
        <v>325</v>
      </c>
      <c r="E68" s="119" t="s">
        <v>326</v>
      </c>
      <c r="F68" s="271" t="s">
        <v>325</v>
      </c>
      <c r="G68" s="120">
        <v>71.150000000000006</v>
      </c>
      <c r="H68" s="120">
        <v>0</v>
      </c>
      <c r="I68" s="120">
        <v>71.150000000000006</v>
      </c>
      <c r="J68" s="121">
        <v>41470</v>
      </c>
      <c r="K68" s="121">
        <v>41466</v>
      </c>
      <c r="L68" s="272">
        <v>29</v>
      </c>
      <c r="M68" s="119" t="s">
        <v>327</v>
      </c>
      <c r="N68" s="272" t="s">
        <v>160</v>
      </c>
      <c r="O68" s="122">
        <v>909</v>
      </c>
      <c r="R68" s="120">
        <v>71.150000000000006</v>
      </c>
      <c r="S68" s="31"/>
      <c r="U68" s="271" t="s">
        <v>325</v>
      </c>
      <c r="V68" s="271" t="s">
        <v>325</v>
      </c>
      <c r="X68" s="120">
        <v>0</v>
      </c>
      <c r="Y68" s="31"/>
    </row>
    <row r="69" spans="1:25" ht="13.5" customHeight="1">
      <c r="A69" s="270">
        <v>4588811101</v>
      </c>
      <c r="B69" s="276" t="s">
        <v>323</v>
      </c>
      <c r="C69" s="119" t="s">
        <v>159</v>
      </c>
      <c r="D69" s="271" t="s">
        <v>325</v>
      </c>
      <c r="E69" s="119" t="s">
        <v>326</v>
      </c>
      <c r="F69" s="271" t="s">
        <v>325</v>
      </c>
      <c r="G69" s="120">
        <v>62.88</v>
      </c>
      <c r="H69" s="120">
        <v>0</v>
      </c>
      <c r="I69" s="120">
        <v>62.88</v>
      </c>
      <c r="J69" s="121">
        <v>41473</v>
      </c>
      <c r="K69" s="121">
        <v>41465</v>
      </c>
      <c r="L69" s="272">
        <v>30</v>
      </c>
      <c r="M69" s="119" t="s">
        <v>327</v>
      </c>
      <c r="N69" s="272" t="s">
        <v>127</v>
      </c>
      <c r="O69" s="122">
        <v>760</v>
      </c>
      <c r="R69" s="120">
        <v>62.88</v>
      </c>
      <c r="S69" s="31"/>
      <c r="U69" s="271" t="s">
        <v>325</v>
      </c>
      <c r="V69" s="271" t="s">
        <v>325</v>
      </c>
      <c r="X69" s="120">
        <v>0</v>
      </c>
      <c r="Y69" s="31"/>
    </row>
    <row r="70" spans="1:25" ht="13.5" customHeight="1">
      <c r="A70" s="270">
        <v>4794009102</v>
      </c>
      <c r="B70" s="276" t="s">
        <v>323</v>
      </c>
      <c r="C70" s="119" t="s">
        <v>162</v>
      </c>
      <c r="D70" s="271" t="s">
        <v>325</v>
      </c>
      <c r="E70" s="119" t="s">
        <v>255</v>
      </c>
      <c r="F70" s="119" t="s">
        <v>163</v>
      </c>
      <c r="G70" s="120">
        <v>356.13</v>
      </c>
      <c r="H70" s="120">
        <v>356.13</v>
      </c>
      <c r="I70" s="120">
        <v>0</v>
      </c>
      <c r="J70" s="121">
        <v>41446</v>
      </c>
      <c r="K70" s="121">
        <v>41443</v>
      </c>
      <c r="L70" s="272">
        <v>29</v>
      </c>
      <c r="M70" s="119" t="s">
        <v>327</v>
      </c>
      <c r="N70" s="272" t="s">
        <v>164</v>
      </c>
      <c r="O70" s="122">
        <v>700</v>
      </c>
      <c r="R70" s="120">
        <v>122.62</v>
      </c>
      <c r="S70" s="121">
        <v>41444</v>
      </c>
      <c r="T70" s="122">
        <v>29</v>
      </c>
      <c r="U70" s="119" t="s">
        <v>327</v>
      </c>
      <c r="V70" s="119" t="s">
        <v>165</v>
      </c>
      <c r="W70" s="122">
        <v>10</v>
      </c>
      <c r="X70" s="120">
        <v>30.72</v>
      </c>
      <c r="Y70" s="31"/>
    </row>
    <row r="71" spans="1:25" ht="13.5" customHeight="1">
      <c r="A71" s="270">
        <v>5048811100</v>
      </c>
      <c r="B71" s="276" t="s">
        <v>323</v>
      </c>
      <c r="C71" s="119" t="s">
        <v>166</v>
      </c>
      <c r="D71" s="271" t="s">
        <v>325</v>
      </c>
      <c r="E71" s="119" t="s">
        <v>326</v>
      </c>
      <c r="F71" s="271" t="s">
        <v>325</v>
      </c>
      <c r="G71" s="120">
        <v>31.67</v>
      </c>
      <c r="H71" s="120">
        <v>0</v>
      </c>
      <c r="I71" s="120">
        <v>31.67</v>
      </c>
      <c r="J71" s="121">
        <v>41470</v>
      </c>
      <c r="K71" s="121">
        <v>41466</v>
      </c>
      <c r="L71" s="272">
        <v>29</v>
      </c>
      <c r="M71" s="119" t="s">
        <v>327</v>
      </c>
      <c r="N71" s="272" t="s">
        <v>167</v>
      </c>
      <c r="O71" s="122">
        <v>199</v>
      </c>
      <c r="R71" s="120">
        <v>31.67</v>
      </c>
      <c r="S71" s="31"/>
      <c r="U71" s="271" t="s">
        <v>325</v>
      </c>
      <c r="V71" s="271" t="s">
        <v>325</v>
      </c>
      <c r="X71" s="120">
        <v>0</v>
      </c>
      <c r="Y71" s="31"/>
    </row>
    <row r="72" spans="1:25" ht="13.5" customHeight="1">
      <c r="A72" s="270">
        <v>5293880104</v>
      </c>
      <c r="B72" s="276" t="s">
        <v>323</v>
      </c>
      <c r="C72" s="119" t="s">
        <v>168</v>
      </c>
      <c r="D72" s="271" t="s">
        <v>325</v>
      </c>
      <c r="E72" s="119" t="s">
        <v>330</v>
      </c>
      <c r="F72" s="271" t="s">
        <v>325</v>
      </c>
      <c r="G72" s="120">
        <v>9253.1299999999992</v>
      </c>
      <c r="H72" s="120">
        <v>0</v>
      </c>
      <c r="I72" s="120">
        <v>9253.1299999999992</v>
      </c>
      <c r="J72" s="121">
        <v>41477</v>
      </c>
      <c r="K72" s="121">
        <v>41477</v>
      </c>
      <c r="L72" s="272">
        <v>32</v>
      </c>
      <c r="M72" s="119" t="s">
        <v>327</v>
      </c>
      <c r="N72" s="277" t="s">
        <v>325</v>
      </c>
      <c r="O72" s="122">
        <v>25405</v>
      </c>
      <c r="R72" s="120">
        <v>9258.5300000000007</v>
      </c>
      <c r="S72" s="31"/>
      <c r="U72" s="271" t="s">
        <v>325</v>
      </c>
      <c r="V72" s="271" t="s">
        <v>325</v>
      </c>
      <c r="X72" s="120">
        <v>0</v>
      </c>
      <c r="Y72" s="31"/>
    </row>
    <row r="73" spans="1:25" ht="13.5" customHeight="1">
      <c r="A73" s="270">
        <v>5333812119</v>
      </c>
      <c r="B73" s="276" t="s">
        <v>323</v>
      </c>
      <c r="C73" s="119" t="s">
        <v>169</v>
      </c>
      <c r="D73" s="271" t="s">
        <v>325</v>
      </c>
      <c r="E73" s="119" t="s">
        <v>326</v>
      </c>
      <c r="F73" s="271" t="s">
        <v>325</v>
      </c>
      <c r="G73" s="120">
        <v>36.75</v>
      </c>
      <c r="H73" s="120">
        <v>0</v>
      </c>
      <c r="I73" s="120">
        <v>36.75</v>
      </c>
      <c r="J73" s="121">
        <v>41477</v>
      </c>
      <c r="K73" s="121">
        <v>41473</v>
      </c>
      <c r="L73" s="272">
        <v>30</v>
      </c>
      <c r="M73" s="119" t="s">
        <v>327</v>
      </c>
      <c r="N73" s="272" t="s">
        <v>170</v>
      </c>
      <c r="O73" s="122">
        <v>290</v>
      </c>
      <c r="R73" s="120">
        <v>36.75</v>
      </c>
      <c r="S73" s="31"/>
      <c r="U73" s="271" t="s">
        <v>325</v>
      </c>
      <c r="V73" s="271" t="s">
        <v>325</v>
      </c>
      <c r="X73" s="120">
        <v>0</v>
      </c>
      <c r="Y73" s="31"/>
    </row>
    <row r="74" spans="1:25" ht="13.5" customHeight="1">
      <c r="A74" s="270">
        <v>5513812108</v>
      </c>
      <c r="B74" s="276" t="s">
        <v>323</v>
      </c>
      <c r="C74" s="119" t="s">
        <v>337</v>
      </c>
      <c r="D74" s="271" t="s">
        <v>325</v>
      </c>
      <c r="E74" s="119" t="s">
        <v>332</v>
      </c>
      <c r="F74" s="271" t="s">
        <v>325</v>
      </c>
      <c r="G74" s="120">
        <v>129.13999999999999</v>
      </c>
      <c r="H74" s="120">
        <v>0</v>
      </c>
      <c r="I74" s="120">
        <v>129.13999999999999</v>
      </c>
      <c r="J74" s="121">
        <v>41477</v>
      </c>
      <c r="K74" s="121">
        <v>41472</v>
      </c>
      <c r="L74" s="272">
        <v>30</v>
      </c>
      <c r="M74" s="119" t="s">
        <v>327</v>
      </c>
      <c r="N74" s="272" t="s">
        <v>114</v>
      </c>
      <c r="O74" s="122">
        <v>1041</v>
      </c>
      <c r="P74" s="122">
        <v>6.9</v>
      </c>
      <c r="Q74" s="122">
        <v>0.20954106280193238</v>
      </c>
      <c r="R74" s="120">
        <v>129.13999999999999</v>
      </c>
      <c r="S74" s="31"/>
      <c r="U74" s="271" t="s">
        <v>325</v>
      </c>
      <c r="V74" s="271" t="s">
        <v>325</v>
      </c>
      <c r="X74" s="120">
        <v>0</v>
      </c>
      <c r="Y74" s="31"/>
    </row>
    <row r="75" spans="1:25" ht="13.5" customHeight="1">
      <c r="A75" s="270">
        <v>5613808124</v>
      </c>
      <c r="B75" s="276" t="s">
        <v>323</v>
      </c>
      <c r="C75" s="119" t="s">
        <v>172</v>
      </c>
      <c r="D75" s="271" t="s">
        <v>325</v>
      </c>
      <c r="E75" s="119" t="s">
        <v>255</v>
      </c>
      <c r="F75" s="271" t="s">
        <v>325</v>
      </c>
      <c r="G75" s="120">
        <v>44.14</v>
      </c>
      <c r="H75" s="120">
        <v>0</v>
      </c>
      <c r="I75" s="120">
        <v>44.14</v>
      </c>
      <c r="J75" s="121">
        <v>41477</v>
      </c>
      <c r="K75" s="121">
        <v>41474</v>
      </c>
      <c r="L75" s="272">
        <v>31</v>
      </c>
      <c r="M75" s="119" t="s">
        <v>327</v>
      </c>
      <c r="N75" s="272" t="s">
        <v>128</v>
      </c>
      <c r="O75" s="122">
        <v>186</v>
      </c>
      <c r="R75" s="120">
        <v>44.14</v>
      </c>
      <c r="S75" s="31"/>
      <c r="U75" s="271" t="s">
        <v>325</v>
      </c>
      <c r="V75" s="271" t="s">
        <v>325</v>
      </c>
      <c r="X75" s="120">
        <v>0</v>
      </c>
      <c r="Y75" s="31"/>
    </row>
    <row r="76" spans="1:25" ht="13.5" customHeight="1">
      <c r="A76" s="270">
        <v>5668811108</v>
      </c>
      <c r="B76" s="276" t="s">
        <v>323</v>
      </c>
      <c r="C76" s="119" t="s">
        <v>159</v>
      </c>
      <c r="D76" s="271" t="s">
        <v>325</v>
      </c>
      <c r="E76" s="119" t="s">
        <v>255</v>
      </c>
      <c r="F76" s="271" t="s">
        <v>325</v>
      </c>
      <c r="G76" s="120">
        <v>34.409999999999997</v>
      </c>
      <c r="H76" s="120">
        <v>0</v>
      </c>
      <c r="I76" s="120">
        <v>34.409999999999997</v>
      </c>
      <c r="J76" s="121">
        <v>41470</v>
      </c>
      <c r="K76" s="121">
        <v>41466</v>
      </c>
      <c r="L76" s="272">
        <v>29</v>
      </c>
      <c r="M76" s="119" t="s">
        <v>327</v>
      </c>
      <c r="N76" s="272" t="s">
        <v>174</v>
      </c>
      <c r="O76" s="122">
        <v>109</v>
      </c>
      <c r="R76" s="120">
        <v>34.409999999999997</v>
      </c>
      <c r="S76" s="31"/>
      <c r="U76" s="271" t="s">
        <v>325</v>
      </c>
      <c r="V76" s="271" t="s">
        <v>325</v>
      </c>
      <c r="X76" s="120">
        <v>0</v>
      </c>
      <c r="Y76" s="31"/>
    </row>
    <row r="77" spans="1:25" ht="13.5" customHeight="1">
      <c r="A77" s="270">
        <v>5748811104</v>
      </c>
      <c r="B77" s="276" t="s">
        <v>323</v>
      </c>
      <c r="C77" s="119" t="s">
        <v>175</v>
      </c>
      <c r="D77" s="271" t="s">
        <v>325</v>
      </c>
      <c r="E77" s="119" t="s">
        <v>326</v>
      </c>
      <c r="F77" s="271" t="s">
        <v>325</v>
      </c>
      <c r="G77" s="120">
        <v>21.02</v>
      </c>
      <c r="H77" s="120">
        <v>0</v>
      </c>
      <c r="I77" s="120">
        <v>21.02</v>
      </c>
      <c r="J77" s="121">
        <v>41470</v>
      </c>
      <c r="K77" s="121">
        <v>41466</v>
      </c>
      <c r="L77" s="272">
        <v>29</v>
      </c>
      <c r="M77" s="119" t="s">
        <v>327</v>
      </c>
      <c r="N77" s="272" t="s">
        <v>176</v>
      </c>
      <c r="O77" s="122">
        <v>7</v>
      </c>
      <c r="R77" s="120">
        <v>21.02</v>
      </c>
      <c r="S77" s="31"/>
      <c r="U77" s="271" t="s">
        <v>325</v>
      </c>
      <c r="V77" s="271" t="s">
        <v>325</v>
      </c>
      <c r="X77" s="120">
        <v>0</v>
      </c>
      <c r="Y77" s="31"/>
    </row>
    <row r="78" spans="1:25" ht="13.5" customHeight="1">
      <c r="A78" s="270">
        <v>5828811100</v>
      </c>
      <c r="B78" s="276" t="s">
        <v>323</v>
      </c>
      <c r="C78" s="119" t="s">
        <v>175</v>
      </c>
      <c r="D78" s="271" t="s">
        <v>325</v>
      </c>
      <c r="E78" s="119" t="s">
        <v>326</v>
      </c>
      <c r="F78" s="271" t="s">
        <v>325</v>
      </c>
      <c r="G78" s="120">
        <v>20.62</v>
      </c>
      <c r="H78" s="120">
        <v>0</v>
      </c>
      <c r="I78" s="120">
        <v>20.62</v>
      </c>
      <c r="J78" s="121">
        <v>41470</v>
      </c>
      <c r="K78" s="121">
        <v>41466</v>
      </c>
      <c r="L78" s="272">
        <v>29</v>
      </c>
      <c r="M78" s="119" t="s">
        <v>327</v>
      </c>
      <c r="N78" s="272" t="s">
        <v>177</v>
      </c>
      <c r="O78" s="122">
        <v>0</v>
      </c>
      <c r="R78" s="120">
        <v>20.62</v>
      </c>
      <c r="S78" s="31"/>
      <c r="U78" s="271" t="s">
        <v>325</v>
      </c>
      <c r="V78" s="271" t="s">
        <v>325</v>
      </c>
      <c r="X78" s="120">
        <v>0</v>
      </c>
      <c r="Y78" s="31"/>
    </row>
    <row r="79" spans="1:25" ht="13.5" customHeight="1">
      <c r="A79" s="270">
        <v>5913814119</v>
      </c>
      <c r="B79" s="276" t="s">
        <v>323</v>
      </c>
      <c r="C79" s="119" t="s">
        <v>178</v>
      </c>
      <c r="D79" s="271" t="s">
        <v>325</v>
      </c>
      <c r="E79" s="119" t="s">
        <v>332</v>
      </c>
      <c r="F79" s="271" t="s">
        <v>325</v>
      </c>
      <c r="G79" s="120">
        <v>156.57</v>
      </c>
      <c r="H79" s="120">
        <v>0</v>
      </c>
      <c r="I79" s="120">
        <v>156.57</v>
      </c>
      <c r="J79" s="121">
        <v>41477</v>
      </c>
      <c r="K79" s="121">
        <v>41472</v>
      </c>
      <c r="L79" s="272">
        <v>30</v>
      </c>
      <c r="M79" s="119" t="s">
        <v>327</v>
      </c>
      <c r="N79" s="272" t="s">
        <v>118</v>
      </c>
      <c r="O79" s="122">
        <v>2452</v>
      </c>
      <c r="P79" s="122">
        <v>8.9</v>
      </c>
      <c r="Q79" s="122">
        <v>0.38264669163545567</v>
      </c>
      <c r="R79" s="120">
        <v>156.57</v>
      </c>
      <c r="S79" s="31"/>
      <c r="U79" s="271" t="s">
        <v>325</v>
      </c>
      <c r="V79" s="271" t="s">
        <v>325</v>
      </c>
      <c r="X79" s="120">
        <v>0</v>
      </c>
      <c r="Y79" s="31"/>
    </row>
    <row r="80" spans="1:25" ht="13.5" customHeight="1">
      <c r="A80" s="270">
        <v>5933814115</v>
      </c>
      <c r="B80" s="276" t="s">
        <v>323</v>
      </c>
      <c r="C80" s="119" t="s">
        <v>180</v>
      </c>
      <c r="D80" s="271" t="s">
        <v>325</v>
      </c>
      <c r="E80" s="119" t="s">
        <v>332</v>
      </c>
      <c r="F80" s="271" t="s">
        <v>325</v>
      </c>
      <c r="G80" s="120">
        <v>432.92</v>
      </c>
      <c r="H80" s="120">
        <v>0</v>
      </c>
      <c r="I80" s="120">
        <v>432.92</v>
      </c>
      <c r="J80" s="121">
        <v>41477</v>
      </c>
      <c r="K80" s="121">
        <v>41472</v>
      </c>
      <c r="L80" s="272">
        <v>30</v>
      </c>
      <c r="M80" s="119" t="s">
        <v>327</v>
      </c>
      <c r="N80" s="272" t="s">
        <v>181</v>
      </c>
      <c r="O80" s="122">
        <v>17931</v>
      </c>
      <c r="P80" s="122">
        <v>28.5</v>
      </c>
      <c r="Q80" s="122">
        <v>0.87383040935672518</v>
      </c>
      <c r="R80" s="120">
        <v>432.92</v>
      </c>
      <c r="S80" s="31"/>
      <c r="U80" s="271" t="s">
        <v>325</v>
      </c>
      <c r="V80" s="271" t="s">
        <v>325</v>
      </c>
      <c r="X80" s="120">
        <v>0</v>
      </c>
      <c r="Y80" s="31"/>
    </row>
    <row r="81" spans="1:25" ht="13.5" customHeight="1">
      <c r="A81" s="270">
        <v>6053820112</v>
      </c>
      <c r="B81" s="276" t="s">
        <v>323</v>
      </c>
      <c r="C81" s="119" t="s">
        <v>182</v>
      </c>
      <c r="D81" s="271" t="s">
        <v>325</v>
      </c>
      <c r="E81" s="119" t="s">
        <v>326</v>
      </c>
      <c r="F81" s="271" t="s">
        <v>325</v>
      </c>
      <c r="G81" s="120">
        <v>22.17</v>
      </c>
      <c r="H81" s="120">
        <v>0</v>
      </c>
      <c r="I81" s="120">
        <v>22.17</v>
      </c>
      <c r="J81" s="121">
        <v>41477</v>
      </c>
      <c r="K81" s="121">
        <v>41473</v>
      </c>
      <c r="L81" s="272">
        <v>30</v>
      </c>
      <c r="M81" s="119" t="s">
        <v>327</v>
      </c>
      <c r="N81" s="272" t="s">
        <v>183</v>
      </c>
      <c r="O81" s="122">
        <v>28</v>
      </c>
      <c r="R81" s="120">
        <v>22.17</v>
      </c>
      <c r="S81" s="31"/>
      <c r="U81" s="271" t="s">
        <v>325</v>
      </c>
      <c r="V81" s="271" t="s">
        <v>325</v>
      </c>
      <c r="X81" s="120">
        <v>0</v>
      </c>
      <c r="Y81" s="31"/>
    </row>
    <row r="82" spans="1:25" ht="13.5" customHeight="1">
      <c r="A82" s="270">
        <v>6173817104</v>
      </c>
      <c r="B82" s="276" t="s">
        <v>323</v>
      </c>
      <c r="C82" s="119" t="s">
        <v>184</v>
      </c>
      <c r="D82" s="271" t="s">
        <v>325</v>
      </c>
      <c r="E82" s="119" t="s">
        <v>326</v>
      </c>
      <c r="F82" s="271" t="s">
        <v>325</v>
      </c>
      <c r="G82" s="120">
        <v>41.69</v>
      </c>
      <c r="H82" s="120">
        <v>0</v>
      </c>
      <c r="I82" s="120">
        <v>41.69</v>
      </c>
      <c r="J82" s="121">
        <v>41477</v>
      </c>
      <c r="K82" s="121">
        <v>41473</v>
      </c>
      <c r="L82" s="272">
        <v>30</v>
      </c>
      <c r="M82" s="119" t="s">
        <v>327</v>
      </c>
      <c r="N82" s="272" t="s">
        <v>185</v>
      </c>
      <c r="O82" s="122">
        <v>379</v>
      </c>
      <c r="R82" s="120">
        <v>41.69</v>
      </c>
      <c r="S82" s="31"/>
      <c r="U82" s="271" t="s">
        <v>325</v>
      </c>
      <c r="V82" s="271" t="s">
        <v>325</v>
      </c>
      <c r="X82" s="120">
        <v>0</v>
      </c>
      <c r="Y82" s="31"/>
    </row>
    <row r="83" spans="1:25" ht="13.5" customHeight="1">
      <c r="A83" s="270">
        <v>6368810106</v>
      </c>
      <c r="B83" s="276" t="s">
        <v>323</v>
      </c>
      <c r="C83" s="119" t="s">
        <v>186</v>
      </c>
      <c r="D83" s="271" t="s">
        <v>325</v>
      </c>
      <c r="E83" s="119" t="s">
        <v>326</v>
      </c>
      <c r="F83" s="271" t="s">
        <v>325</v>
      </c>
      <c r="G83" s="120">
        <v>160.74</v>
      </c>
      <c r="H83" s="120">
        <v>0</v>
      </c>
      <c r="I83" s="120">
        <v>160.74</v>
      </c>
      <c r="J83" s="121">
        <v>41470</v>
      </c>
      <c r="K83" s="121">
        <v>41466</v>
      </c>
      <c r="L83" s="272">
        <v>29</v>
      </c>
      <c r="M83" s="119" t="s">
        <v>327</v>
      </c>
      <c r="N83" s="272" t="s">
        <v>187</v>
      </c>
      <c r="O83" s="122">
        <v>2520</v>
      </c>
      <c r="R83" s="120">
        <v>160.74</v>
      </c>
      <c r="S83" s="31"/>
      <c r="U83" s="271" t="s">
        <v>325</v>
      </c>
      <c r="V83" s="271" t="s">
        <v>325</v>
      </c>
      <c r="X83" s="120">
        <v>0</v>
      </c>
      <c r="Y83" s="31"/>
    </row>
    <row r="84" spans="1:25" ht="13.5" customHeight="1">
      <c r="A84" s="270">
        <v>6853819124</v>
      </c>
      <c r="B84" s="276" t="s">
        <v>323</v>
      </c>
      <c r="C84" s="119" t="s">
        <v>188</v>
      </c>
      <c r="D84" s="271" t="s">
        <v>325</v>
      </c>
      <c r="E84" s="119" t="s">
        <v>255</v>
      </c>
      <c r="F84" s="271" t="s">
        <v>325</v>
      </c>
      <c r="G84" s="120">
        <v>48.84</v>
      </c>
      <c r="H84" s="120">
        <v>0</v>
      </c>
      <c r="I84" s="120">
        <v>48.84</v>
      </c>
      <c r="J84" s="121">
        <v>41477</v>
      </c>
      <c r="K84" s="121">
        <v>41474</v>
      </c>
      <c r="L84" s="272">
        <v>31</v>
      </c>
      <c r="M84" s="119" t="s">
        <v>327</v>
      </c>
      <c r="N84" s="272" t="s">
        <v>189</v>
      </c>
      <c r="O84" s="122">
        <v>223</v>
      </c>
      <c r="R84" s="120">
        <v>48.84</v>
      </c>
      <c r="S84" s="31"/>
      <c r="U84" s="271" t="s">
        <v>325</v>
      </c>
      <c r="V84" s="271" t="s">
        <v>325</v>
      </c>
      <c r="X84" s="120">
        <v>0</v>
      </c>
      <c r="Y84" s="31"/>
    </row>
    <row r="85" spans="1:25" ht="13.5" customHeight="1">
      <c r="A85" s="270">
        <v>6857311003</v>
      </c>
      <c r="B85" s="276" t="s">
        <v>323</v>
      </c>
      <c r="C85" s="119" t="s">
        <v>190</v>
      </c>
      <c r="D85" s="271" t="s">
        <v>325</v>
      </c>
      <c r="E85" s="119" t="s">
        <v>255</v>
      </c>
      <c r="F85" s="271" t="s">
        <v>325</v>
      </c>
      <c r="G85" s="120">
        <v>21.55</v>
      </c>
      <c r="H85" s="120">
        <v>0</v>
      </c>
      <c r="I85" s="120">
        <v>21.55</v>
      </c>
      <c r="J85" s="121">
        <v>41477</v>
      </c>
      <c r="K85" s="121">
        <v>41473</v>
      </c>
      <c r="L85" s="272">
        <v>30</v>
      </c>
      <c r="M85" s="119" t="s">
        <v>327</v>
      </c>
      <c r="N85" s="272" t="s">
        <v>191</v>
      </c>
      <c r="O85" s="122">
        <v>4</v>
      </c>
      <c r="R85" s="120">
        <v>21.55</v>
      </c>
      <c r="S85" s="31"/>
      <c r="U85" s="271" t="s">
        <v>325</v>
      </c>
      <c r="V85" s="271" t="s">
        <v>325</v>
      </c>
      <c r="X85" s="120">
        <v>0</v>
      </c>
      <c r="Y85" s="31"/>
    </row>
    <row r="86" spans="1:25" ht="13.5" customHeight="1">
      <c r="A86" s="270">
        <v>7312015014</v>
      </c>
      <c r="B86" s="276" t="s">
        <v>323</v>
      </c>
      <c r="C86" s="119" t="s">
        <v>192</v>
      </c>
      <c r="D86" s="271" t="s">
        <v>325</v>
      </c>
      <c r="E86" s="119" t="s">
        <v>326</v>
      </c>
      <c r="F86" s="271" t="s">
        <v>325</v>
      </c>
      <c r="G86" s="120">
        <v>25.23</v>
      </c>
      <c r="H86" s="120">
        <v>0</v>
      </c>
      <c r="I86" s="120">
        <v>25.23</v>
      </c>
      <c r="J86" s="121">
        <v>41470</v>
      </c>
      <c r="K86" s="121">
        <v>41466</v>
      </c>
      <c r="L86" s="272">
        <v>29</v>
      </c>
      <c r="M86" s="119" t="s">
        <v>327</v>
      </c>
      <c r="N86" s="272" t="s">
        <v>193</v>
      </c>
      <c r="O86" s="122">
        <v>83</v>
      </c>
      <c r="R86" s="120">
        <v>25.23</v>
      </c>
      <c r="S86" s="31"/>
      <c r="U86" s="271" t="s">
        <v>325</v>
      </c>
      <c r="V86" s="271" t="s">
        <v>325</v>
      </c>
      <c r="X86" s="120">
        <v>0</v>
      </c>
      <c r="Y86" s="31"/>
    </row>
    <row r="87" spans="1:25" ht="13.5" customHeight="1">
      <c r="A87" s="270">
        <v>8193819106</v>
      </c>
      <c r="B87" s="276" t="s">
        <v>323</v>
      </c>
      <c r="C87" s="119" t="s">
        <v>205</v>
      </c>
      <c r="D87" s="271" t="s">
        <v>325</v>
      </c>
      <c r="E87" s="271" t="s">
        <v>325</v>
      </c>
      <c r="F87" s="119" t="s">
        <v>335</v>
      </c>
      <c r="G87" s="120">
        <v>25.82</v>
      </c>
      <c r="H87" s="120">
        <v>0</v>
      </c>
      <c r="I87" s="120">
        <v>25.82</v>
      </c>
      <c r="J87" s="121">
        <v>41477</v>
      </c>
      <c r="M87" s="271" t="s">
        <v>325</v>
      </c>
      <c r="N87" s="277" t="s">
        <v>325</v>
      </c>
      <c r="R87" s="120">
        <v>0</v>
      </c>
      <c r="S87" s="121">
        <v>41473</v>
      </c>
      <c r="T87" s="122">
        <v>30</v>
      </c>
      <c r="U87" s="119" t="s">
        <v>327</v>
      </c>
      <c r="V87" s="119" t="s">
        <v>88</v>
      </c>
      <c r="W87" s="122">
        <v>9</v>
      </c>
      <c r="X87" s="120">
        <v>25.82</v>
      </c>
      <c r="Y87" s="31"/>
    </row>
    <row r="88" spans="1:25" ht="13.5" customHeight="1">
      <c r="A88" s="270">
        <v>8714009102</v>
      </c>
      <c r="B88" s="276" t="s">
        <v>323</v>
      </c>
      <c r="C88" s="119" t="s">
        <v>89</v>
      </c>
      <c r="D88" s="271" t="s">
        <v>325</v>
      </c>
      <c r="E88" s="119" t="s">
        <v>326</v>
      </c>
      <c r="F88" s="119" t="s">
        <v>163</v>
      </c>
      <c r="G88" s="120">
        <v>184.93</v>
      </c>
      <c r="H88" s="120">
        <v>184.93</v>
      </c>
      <c r="I88" s="120">
        <v>0</v>
      </c>
      <c r="J88" s="121">
        <v>41446</v>
      </c>
      <c r="K88" s="121">
        <v>41443</v>
      </c>
      <c r="L88" s="272">
        <v>29</v>
      </c>
      <c r="M88" s="119" t="s">
        <v>327</v>
      </c>
      <c r="N88" s="272" t="s">
        <v>90</v>
      </c>
      <c r="O88" s="122">
        <v>680</v>
      </c>
      <c r="R88" s="120">
        <v>62.54</v>
      </c>
      <c r="S88" s="121">
        <v>41444</v>
      </c>
      <c r="T88" s="122">
        <v>29</v>
      </c>
      <c r="U88" s="119" t="s">
        <v>327</v>
      </c>
      <c r="V88" s="119" t="s">
        <v>91</v>
      </c>
      <c r="W88" s="122">
        <v>9</v>
      </c>
      <c r="X88" s="120">
        <v>29.97</v>
      </c>
      <c r="Y88" s="31"/>
    </row>
    <row r="89" spans="1:25" ht="13.5" customHeight="1">
      <c r="A89" s="270">
        <v>8993882105</v>
      </c>
      <c r="B89" s="276" t="s">
        <v>323</v>
      </c>
      <c r="C89" s="119" t="s">
        <v>92</v>
      </c>
      <c r="D89" s="271" t="s">
        <v>325</v>
      </c>
      <c r="E89" s="119" t="s">
        <v>330</v>
      </c>
      <c r="F89" s="271" t="s">
        <v>325</v>
      </c>
      <c r="G89" s="120">
        <v>93.93</v>
      </c>
      <c r="H89" s="120">
        <v>0</v>
      </c>
      <c r="I89" s="120">
        <v>93.93</v>
      </c>
      <c r="J89" s="121">
        <v>41477</v>
      </c>
      <c r="K89" s="121">
        <v>41477</v>
      </c>
      <c r="L89" s="272">
        <v>32</v>
      </c>
      <c r="M89" s="119" t="s">
        <v>327</v>
      </c>
      <c r="N89" s="277" t="s">
        <v>325</v>
      </c>
      <c r="O89" s="122">
        <v>64</v>
      </c>
      <c r="R89" s="120">
        <v>93.93</v>
      </c>
      <c r="S89" s="31"/>
      <c r="U89" s="271" t="s">
        <v>325</v>
      </c>
      <c r="V89" s="271" t="s">
        <v>325</v>
      </c>
      <c r="X89" s="120">
        <v>0</v>
      </c>
      <c r="Y89" s="31"/>
    </row>
    <row r="90" spans="1:25" ht="13.5" customHeight="1">
      <c r="A90" s="270">
        <v>9308810101</v>
      </c>
      <c r="B90" s="276" t="s">
        <v>323</v>
      </c>
      <c r="C90" s="119" t="s">
        <v>337</v>
      </c>
      <c r="D90" s="271" t="s">
        <v>325</v>
      </c>
      <c r="E90" s="271" t="s">
        <v>325</v>
      </c>
      <c r="F90" s="119" t="s">
        <v>335</v>
      </c>
      <c r="G90" s="120">
        <v>26.15</v>
      </c>
      <c r="H90" s="120">
        <v>0</v>
      </c>
      <c r="I90" s="120">
        <v>26.15</v>
      </c>
      <c r="J90" s="121">
        <v>41470</v>
      </c>
      <c r="M90" s="271" t="s">
        <v>325</v>
      </c>
      <c r="N90" s="277" t="s">
        <v>325</v>
      </c>
      <c r="R90" s="120">
        <v>0</v>
      </c>
      <c r="S90" s="121">
        <v>41466</v>
      </c>
      <c r="T90" s="122">
        <v>29</v>
      </c>
      <c r="U90" s="119" t="s">
        <v>327</v>
      </c>
      <c r="V90" s="119" t="s">
        <v>93</v>
      </c>
      <c r="W90" s="122">
        <v>10</v>
      </c>
      <c r="X90" s="120">
        <v>26.15</v>
      </c>
      <c r="Y90" s="31"/>
    </row>
    <row r="91" spans="1:25" ht="13.5" customHeight="1">
      <c r="A91" s="270">
        <v>9428808118</v>
      </c>
      <c r="B91" s="276" t="s">
        <v>323</v>
      </c>
      <c r="C91" s="119" t="s">
        <v>94</v>
      </c>
      <c r="D91" s="271" t="s">
        <v>325</v>
      </c>
      <c r="E91" s="271" t="s">
        <v>325</v>
      </c>
      <c r="F91" s="119" t="s">
        <v>236</v>
      </c>
      <c r="G91" s="120">
        <v>20.36</v>
      </c>
      <c r="H91" s="120">
        <v>0</v>
      </c>
      <c r="I91" s="120">
        <v>20.36</v>
      </c>
      <c r="J91" s="121">
        <v>41470</v>
      </c>
      <c r="M91" s="271" t="s">
        <v>325</v>
      </c>
      <c r="N91" s="277" t="s">
        <v>325</v>
      </c>
      <c r="R91" s="120">
        <v>0</v>
      </c>
      <c r="S91" s="121">
        <v>41466</v>
      </c>
      <c r="T91" s="122">
        <v>29</v>
      </c>
      <c r="U91" s="119" t="s">
        <v>327</v>
      </c>
      <c r="V91" s="119" t="s">
        <v>97</v>
      </c>
      <c r="W91" s="122">
        <v>0</v>
      </c>
      <c r="X91" s="120">
        <v>20.36</v>
      </c>
      <c r="Y91" s="31"/>
    </row>
    <row r="92" spans="1:25" ht="13.5" customHeight="1">
      <c r="A92" s="270">
        <v>9488810107</v>
      </c>
      <c r="B92" s="276" t="s">
        <v>323</v>
      </c>
      <c r="C92" s="119" t="s">
        <v>337</v>
      </c>
      <c r="D92" s="271" t="s">
        <v>325</v>
      </c>
      <c r="E92" s="119" t="s">
        <v>332</v>
      </c>
      <c r="F92" s="271" t="s">
        <v>325</v>
      </c>
      <c r="G92" s="120">
        <v>2055.48</v>
      </c>
      <c r="H92" s="120">
        <v>0</v>
      </c>
      <c r="I92" s="120">
        <v>2055.48</v>
      </c>
      <c r="J92" s="121">
        <v>41470</v>
      </c>
      <c r="K92" s="121">
        <v>41465</v>
      </c>
      <c r="L92" s="272">
        <v>27</v>
      </c>
      <c r="M92" s="119" t="s">
        <v>240</v>
      </c>
      <c r="N92" s="272" t="s">
        <v>98</v>
      </c>
      <c r="O92" s="122">
        <v>9440</v>
      </c>
      <c r="P92" s="122">
        <v>187.2</v>
      </c>
      <c r="Q92" s="122">
        <v>7.7819985227392641E-2</v>
      </c>
      <c r="R92" s="120">
        <v>2055.48</v>
      </c>
      <c r="S92" s="31"/>
      <c r="U92" s="271" t="s">
        <v>325</v>
      </c>
      <c r="V92" s="271" t="s">
        <v>325</v>
      </c>
      <c r="X92" s="120">
        <v>0</v>
      </c>
      <c r="Y92" s="31"/>
    </row>
    <row r="93" spans="1:25" ht="13.5" customHeight="1">
      <c r="A93" s="270">
        <v>9529017113</v>
      </c>
      <c r="B93" s="276" t="s">
        <v>323</v>
      </c>
      <c r="C93" s="119" t="s">
        <v>99</v>
      </c>
      <c r="D93" s="271" t="s">
        <v>325</v>
      </c>
      <c r="E93" s="119" t="s">
        <v>326</v>
      </c>
      <c r="F93" s="271" t="s">
        <v>325</v>
      </c>
      <c r="G93" s="120">
        <v>82.29</v>
      </c>
      <c r="H93" s="120">
        <v>0</v>
      </c>
      <c r="I93" s="120">
        <v>82.29</v>
      </c>
      <c r="J93" s="121">
        <v>41471</v>
      </c>
      <c r="K93" s="121">
        <v>41467</v>
      </c>
      <c r="L93" s="272">
        <v>29</v>
      </c>
      <c r="M93" s="119" t="s">
        <v>327</v>
      </c>
      <c r="N93" s="272" t="s">
        <v>100</v>
      </c>
      <c r="O93" s="122">
        <v>1109</v>
      </c>
      <c r="R93" s="120">
        <v>82.29</v>
      </c>
      <c r="S93" s="31"/>
      <c r="U93" s="271" t="s">
        <v>325</v>
      </c>
      <c r="V93" s="271" t="s">
        <v>325</v>
      </c>
      <c r="X93" s="120">
        <v>0</v>
      </c>
      <c r="Y93" s="31"/>
    </row>
    <row r="94" spans="1:25" ht="13.5" customHeight="1">
      <c r="A94" s="270">
        <v>9753819107</v>
      </c>
      <c r="B94" s="276" t="s">
        <v>323</v>
      </c>
      <c r="C94" s="119" t="s">
        <v>101</v>
      </c>
      <c r="D94" s="271" t="s">
        <v>325</v>
      </c>
      <c r="E94" s="119" t="s">
        <v>332</v>
      </c>
      <c r="F94" s="119" t="s">
        <v>277</v>
      </c>
      <c r="G94" s="120">
        <v>836.06</v>
      </c>
      <c r="H94" s="120">
        <v>0</v>
      </c>
      <c r="I94" s="120">
        <v>836.06</v>
      </c>
      <c r="J94" s="121">
        <v>41477</v>
      </c>
      <c r="K94" s="121">
        <v>41474</v>
      </c>
      <c r="L94" s="272">
        <v>30</v>
      </c>
      <c r="M94" s="119" t="s">
        <v>327</v>
      </c>
      <c r="N94" s="272" t="s">
        <v>102</v>
      </c>
      <c r="O94" s="122">
        <v>19520</v>
      </c>
      <c r="P94" s="122">
        <v>64</v>
      </c>
      <c r="Q94" s="122">
        <v>0.4236111111111111</v>
      </c>
      <c r="R94" s="120">
        <v>811.89</v>
      </c>
      <c r="S94" s="121">
        <v>41473</v>
      </c>
      <c r="T94" s="122">
        <v>30</v>
      </c>
      <c r="U94" s="119" t="s">
        <v>327</v>
      </c>
      <c r="V94" s="119" t="s">
        <v>103</v>
      </c>
      <c r="W94" s="122">
        <v>0</v>
      </c>
      <c r="X94" s="120">
        <v>24.17</v>
      </c>
      <c r="Y94" s="31"/>
    </row>
    <row r="95" spans="1:25" ht="13.5" customHeight="1">
      <c r="A95" s="270">
        <v>9753820119</v>
      </c>
      <c r="B95" s="276" t="s">
        <v>323</v>
      </c>
      <c r="C95" s="119" t="s">
        <v>104</v>
      </c>
      <c r="D95" s="271" t="s">
        <v>325</v>
      </c>
      <c r="E95" s="119" t="s">
        <v>326</v>
      </c>
      <c r="F95" s="271" t="s">
        <v>325</v>
      </c>
      <c r="G95" s="120">
        <v>22.91</v>
      </c>
      <c r="H95" s="120">
        <v>0</v>
      </c>
      <c r="I95" s="120">
        <v>22.91</v>
      </c>
      <c r="J95" s="121">
        <v>41477</v>
      </c>
      <c r="K95" s="121">
        <v>41473</v>
      </c>
      <c r="L95" s="272">
        <v>30</v>
      </c>
      <c r="M95" s="119" t="s">
        <v>327</v>
      </c>
      <c r="N95" s="272" t="s">
        <v>105</v>
      </c>
      <c r="O95" s="122">
        <v>41</v>
      </c>
      <c r="R95" s="120">
        <v>22.91</v>
      </c>
      <c r="S95" s="31"/>
      <c r="U95" s="271" t="s">
        <v>325</v>
      </c>
      <c r="V95" s="271" t="s">
        <v>325</v>
      </c>
      <c r="X95" s="120">
        <v>0</v>
      </c>
      <c r="Y95" s="31"/>
    </row>
    <row r="96" spans="1:25" ht="13.5" customHeight="1">
      <c r="A96" s="270">
        <v>9953820104</v>
      </c>
      <c r="B96" s="276" t="s">
        <v>323</v>
      </c>
      <c r="C96" s="119" t="s">
        <v>106</v>
      </c>
      <c r="D96" s="271" t="s">
        <v>325</v>
      </c>
      <c r="E96" s="119" t="s">
        <v>326</v>
      </c>
      <c r="F96" s="119" t="s">
        <v>325</v>
      </c>
      <c r="G96" s="120">
        <v>36.07</v>
      </c>
      <c r="H96" s="120">
        <v>0</v>
      </c>
      <c r="I96" s="120">
        <v>36.07</v>
      </c>
      <c r="J96" s="121">
        <v>41477</v>
      </c>
      <c r="K96" s="121">
        <v>41473</v>
      </c>
      <c r="L96" s="272">
        <v>30</v>
      </c>
      <c r="M96" s="119" t="s">
        <v>327</v>
      </c>
      <c r="N96" s="272" t="s">
        <v>107</v>
      </c>
      <c r="O96" s="122">
        <v>278</v>
      </c>
      <c r="R96" s="120">
        <v>36.07</v>
      </c>
      <c r="S96" s="31"/>
      <c r="U96" s="119" t="s">
        <v>325</v>
      </c>
      <c r="V96" s="119" t="s">
        <v>325</v>
      </c>
      <c r="X96" s="120">
        <v>0</v>
      </c>
      <c r="Y96" s="31"/>
    </row>
    <row r="97" spans="7:25">
      <c r="G97" s="88"/>
      <c r="J97" s="31"/>
      <c r="R97" s="88"/>
      <c r="S97" s="31"/>
      <c r="X97" s="88"/>
      <c r="Y97" s="31"/>
    </row>
    <row r="98" spans="7:25">
      <c r="G98" s="88"/>
      <c r="I98" s="124">
        <f>SUM(I15:I97)</f>
        <v>19661.29</v>
      </c>
      <c r="J98" s="31"/>
      <c r="R98" s="88"/>
      <c r="S98" s="31"/>
      <c r="X98" s="88"/>
      <c r="Y98" s="31"/>
    </row>
    <row r="99" spans="7:25">
      <c r="G99" s="88"/>
      <c r="J99" s="31"/>
      <c r="R99" s="88"/>
      <c r="S99" s="31"/>
      <c r="X99" s="88"/>
      <c r="Y99" s="31"/>
    </row>
    <row r="100" spans="7:25">
      <c r="G100" s="88"/>
      <c r="J100" s="31"/>
      <c r="R100" s="88"/>
      <c r="S100" s="31"/>
      <c r="X100" s="88"/>
      <c r="Y100" s="31"/>
    </row>
    <row r="101" spans="7:25">
      <c r="G101" s="88"/>
      <c r="J101" s="31"/>
      <c r="R101" s="88"/>
      <c r="S101" s="31"/>
      <c r="X101" s="88"/>
      <c r="Y101" s="31"/>
    </row>
  </sheetData>
  <phoneticPr fontId="7" type="noConversion"/>
  <pageMargins left="0.25" right="0.25" top="0.25" bottom="0.25" header="0" footer="0"/>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4:AA98"/>
  <sheetViews>
    <sheetView zoomScaleNormal="73" zoomScaleSheetLayoutView="73" zoomScalePageLayoutView="73" workbookViewId="0">
      <selection sqref="A1:XFD1"/>
    </sheetView>
  </sheetViews>
  <sheetFormatPr baseColWidth="10" defaultColWidth="53.5" defaultRowHeight="18" customHeight="1" x14ac:dyDescent="0"/>
  <cols>
    <col min="1" max="1" width="20.1640625" style="247" customWidth="1"/>
    <col min="2" max="2" width="16.5" style="247" customWidth="1"/>
    <col min="3" max="3" width="44.6640625" style="247" customWidth="1"/>
    <col min="4" max="4" width="8.5" style="247" customWidth="1"/>
    <col min="5" max="5" width="14.83203125" style="247" customWidth="1"/>
    <col min="6" max="6" width="9.6640625" style="247" hidden="1" customWidth="1"/>
    <col min="7" max="7" width="10.6640625" style="247" hidden="1" customWidth="1"/>
    <col min="8" max="8" width="10.83203125" style="256" hidden="1" customWidth="1"/>
    <col min="9" max="9" width="14.1640625" style="256" customWidth="1"/>
    <col min="10" max="10" width="13.5" style="256" hidden="1" customWidth="1"/>
    <col min="11" max="11" width="12" style="247" hidden="1" customWidth="1"/>
    <col min="12" max="12" width="5.5" style="247" hidden="1" customWidth="1"/>
    <col min="13" max="13" width="17.5" style="247" hidden="1" customWidth="1"/>
    <col min="14" max="14" width="9.83203125" style="247" hidden="1" customWidth="1"/>
    <col min="15" max="15" width="8.33203125" style="247" customWidth="1"/>
    <col min="16" max="16" width="9" style="256" hidden="1" customWidth="1"/>
    <col min="17" max="17" width="14.6640625" style="247" hidden="1" customWidth="1"/>
    <col min="18" max="18" width="13.5" style="247" customWidth="1"/>
    <col min="19" max="19" width="12.1640625" style="247" hidden="1" customWidth="1"/>
    <col min="20" max="20" width="5.5" style="247" hidden="1" customWidth="1"/>
    <col min="21" max="21" width="16" style="247" hidden="1" customWidth="1"/>
    <col min="22" max="22" width="10" style="247" hidden="1" customWidth="1"/>
    <col min="23" max="23" width="8.1640625" style="247" customWidth="1"/>
    <col min="24" max="24" width="12.1640625" style="247" customWidth="1"/>
    <col min="25" max="16384" width="53.5" style="247"/>
  </cols>
  <sheetData>
    <row r="4" spans="1:27" ht="18" customHeight="1" thickBot="1"/>
    <row r="5" spans="1:27" ht="18" customHeight="1" thickBot="1">
      <c r="A5" s="720" t="s">
        <v>289</v>
      </c>
      <c r="B5" s="721"/>
      <c r="C5" s="721"/>
      <c r="D5" s="721"/>
      <c r="E5" s="722"/>
      <c r="F5" s="97"/>
      <c r="G5" s="98"/>
      <c r="H5" s="98"/>
      <c r="I5" s="98"/>
      <c r="J5" s="97"/>
      <c r="K5" s="97"/>
      <c r="L5" s="97"/>
      <c r="M5" s="97"/>
      <c r="N5" s="97"/>
      <c r="O5" s="98"/>
      <c r="P5" s="247"/>
    </row>
    <row r="6" spans="1:27" ht="18" customHeight="1" thickBot="1">
      <c r="A6" s="723" t="s">
        <v>290</v>
      </c>
      <c r="B6" s="724"/>
      <c r="C6" s="724"/>
      <c r="D6" s="724"/>
      <c r="E6" s="725"/>
      <c r="F6" s="97"/>
      <c r="G6" s="98"/>
      <c r="H6" s="98"/>
      <c r="I6" s="98"/>
      <c r="J6" s="97"/>
      <c r="K6" s="97"/>
      <c r="L6" s="97"/>
      <c r="M6" s="97"/>
      <c r="N6" s="97"/>
      <c r="O6" s="98"/>
      <c r="P6" s="247"/>
    </row>
    <row r="7" spans="1:27" ht="18" customHeight="1">
      <c r="A7" s="283" t="s">
        <v>291</v>
      </c>
      <c r="B7" s="105"/>
      <c r="C7" s="105"/>
      <c r="D7" s="105"/>
      <c r="E7" s="106"/>
      <c r="F7" s="97"/>
      <c r="G7" s="98"/>
      <c r="H7" s="98"/>
      <c r="I7" s="98"/>
      <c r="J7" s="97"/>
      <c r="K7" s="97"/>
      <c r="L7" s="97"/>
      <c r="M7" s="97"/>
      <c r="N7" s="97"/>
      <c r="O7" s="98"/>
      <c r="P7" s="247"/>
    </row>
    <row r="8" spans="1:27" ht="18" customHeight="1" thickBot="1">
      <c r="A8" s="93" t="s">
        <v>292</v>
      </c>
      <c r="B8" s="95"/>
      <c r="C8" s="95"/>
      <c r="D8" s="95"/>
      <c r="E8" s="96"/>
      <c r="F8" s="97"/>
      <c r="G8" s="98"/>
      <c r="H8" s="98"/>
      <c r="I8" s="98"/>
      <c r="J8" s="97"/>
      <c r="K8" s="97"/>
      <c r="L8" s="97"/>
      <c r="M8" s="97"/>
      <c r="N8" s="97"/>
      <c r="O8" s="98"/>
      <c r="P8" s="247"/>
    </row>
    <row r="9" spans="1:27" ht="18" customHeight="1" thickBot="1">
      <c r="A9" s="100" t="s">
        <v>293</v>
      </c>
      <c r="B9" s="112" t="s">
        <v>294</v>
      </c>
      <c r="C9" s="102">
        <v>41509</v>
      </c>
      <c r="D9" s="100" t="s">
        <v>295</v>
      </c>
      <c r="E9" s="102">
        <f>C9+14</f>
        <v>41523</v>
      </c>
      <c r="F9" s="97"/>
      <c r="G9" s="98"/>
      <c r="H9" s="98"/>
      <c r="I9" s="98"/>
      <c r="J9" s="97"/>
      <c r="K9" s="97"/>
      <c r="L9" s="97"/>
      <c r="M9" s="97"/>
      <c r="N9" s="97"/>
      <c r="O9" s="98"/>
      <c r="P9" s="247"/>
    </row>
    <row r="10" spans="1:27" ht="18" customHeight="1" thickBot="1">
      <c r="A10" s="103" t="s">
        <v>296</v>
      </c>
      <c r="B10" s="284">
        <f>I98</f>
        <v>18584.100000000002</v>
      </c>
      <c r="C10" s="105"/>
      <c r="D10" s="105"/>
      <c r="E10" s="106"/>
      <c r="F10" s="97"/>
      <c r="G10" s="98"/>
      <c r="H10" s="98"/>
      <c r="I10" s="98"/>
      <c r="J10" s="97"/>
      <c r="K10" s="97"/>
      <c r="L10" s="97"/>
      <c r="M10" s="97"/>
      <c r="N10" s="97"/>
      <c r="O10" s="98"/>
      <c r="P10" s="247"/>
    </row>
    <row r="11" spans="1:27" ht="18" customHeight="1" thickBot="1">
      <c r="A11" s="713" t="s">
        <v>297</v>
      </c>
      <c r="B11" s="714"/>
      <c r="C11" s="107">
        <v>41479</v>
      </c>
      <c r="D11" s="108" t="s">
        <v>298</v>
      </c>
      <c r="E11" s="102">
        <v>41509</v>
      </c>
      <c r="F11" s="97"/>
      <c r="G11" s="98"/>
      <c r="H11" s="98"/>
      <c r="I11" s="98"/>
      <c r="J11" s="97"/>
      <c r="K11" s="97"/>
      <c r="L11" s="97"/>
      <c r="M11" s="97"/>
      <c r="N11" s="97"/>
      <c r="O11" s="98"/>
      <c r="P11" s="247"/>
    </row>
    <row r="12" spans="1:27" ht="18" customHeight="1" thickBot="1">
      <c r="A12" s="109" t="s">
        <v>299</v>
      </c>
      <c r="B12" s="111"/>
      <c r="C12" s="111"/>
      <c r="D12" s="111"/>
      <c r="E12" s="112"/>
      <c r="F12" s="97"/>
      <c r="G12" s="98"/>
      <c r="H12" s="98"/>
      <c r="I12" s="98"/>
      <c r="J12" s="97"/>
      <c r="K12" s="97"/>
      <c r="L12" s="97"/>
      <c r="M12" s="97"/>
      <c r="N12" s="97"/>
      <c r="O12" s="98"/>
      <c r="P12" s="247"/>
    </row>
    <row r="13" spans="1:27" ht="18" customHeight="1" thickBot="1">
      <c r="A13" s="113">
        <f>E11</f>
        <v>41509</v>
      </c>
      <c r="B13" s="111"/>
      <c r="C13" s="111"/>
      <c r="D13" s="111"/>
      <c r="E13" s="112"/>
      <c r="F13" s="97"/>
      <c r="G13" s="98"/>
      <c r="H13" s="98"/>
      <c r="I13" s="98"/>
      <c r="J13" s="97"/>
      <c r="K13" s="97"/>
      <c r="L13" s="97"/>
      <c r="M13" s="97"/>
      <c r="N13" s="97"/>
      <c r="O13" s="98"/>
      <c r="P13" s="247"/>
    </row>
    <row r="14" spans="1:27" s="32" customFormat="1" ht="24" customHeight="1">
      <c r="A14" s="285" t="s">
        <v>370</v>
      </c>
      <c r="B14" s="286" t="s">
        <v>300</v>
      </c>
      <c r="C14" s="285" t="s">
        <v>301</v>
      </c>
      <c r="D14" s="285" t="s">
        <v>302</v>
      </c>
      <c r="E14" s="285" t="s">
        <v>303</v>
      </c>
      <c r="F14" s="285" t="s">
        <v>304</v>
      </c>
      <c r="G14" s="287" t="s">
        <v>305</v>
      </c>
      <c r="H14" s="287" t="s">
        <v>306</v>
      </c>
      <c r="I14" s="287" t="s">
        <v>307</v>
      </c>
      <c r="J14" s="285" t="s">
        <v>308</v>
      </c>
      <c r="K14" s="285" t="s">
        <v>309</v>
      </c>
      <c r="L14" s="285" t="s">
        <v>310</v>
      </c>
      <c r="M14" s="285" t="s">
        <v>311</v>
      </c>
      <c r="N14" s="285" t="s">
        <v>312</v>
      </c>
      <c r="O14" s="285" t="s">
        <v>313</v>
      </c>
      <c r="P14" s="285" t="s">
        <v>314</v>
      </c>
      <c r="Q14" s="285" t="s">
        <v>315</v>
      </c>
      <c r="R14" s="287" t="s">
        <v>316</v>
      </c>
      <c r="S14" s="285" t="s">
        <v>317</v>
      </c>
      <c r="T14" s="285" t="s">
        <v>318</v>
      </c>
      <c r="U14" s="285" t="s">
        <v>319</v>
      </c>
      <c r="V14" s="285" t="s">
        <v>320</v>
      </c>
      <c r="W14" s="285" t="s">
        <v>321</v>
      </c>
      <c r="X14" s="287" t="s">
        <v>322</v>
      </c>
      <c r="AA14" s="32" t="s">
        <v>132</v>
      </c>
    </row>
    <row r="15" spans="1:27" ht="18" customHeight="1">
      <c r="A15" s="288">
        <v>143027007</v>
      </c>
      <c r="B15" s="289" t="s">
        <v>323</v>
      </c>
      <c r="C15" s="290" t="s">
        <v>324</v>
      </c>
      <c r="D15" s="291" t="s">
        <v>325</v>
      </c>
      <c r="E15" s="290" t="s">
        <v>326</v>
      </c>
      <c r="F15" s="291" t="s">
        <v>325</v>
      </c>
      <c r="G15" s="292">
        <v>23.21</v>
      </c>
      <c r="H15" s="292">
        <v>0</v>
      </c>
      <c r="I15" s="293">
        <v>23.21</v>
      </c>
      <c r="J15" s="294">
        <v>41508</v>
      </c>
      <c r="K15" s="294">
        <v>41506</v>
      </c>
      <c r="L15" s="295">
        <v>33</v>
      </c>
      <c r="M15" s="296" t="s">
        <v>327</v>
      </c>
      <c r="N15" s="296" t="s">
        <v>328</v>
      </c>
      <c r="O15" s="295">
        <v>45</v>
      </c>
      <c r="P15" s="97"/>
      <c r="Q15" s="97"/>
      <c r="R15" s="292">
        <v>23.21</v>
      </c>
      <c r="S15" s="97"/>
      <c r="T15" s="97"/>
      <c r="U15" s="291" t="s">
        <v>325</v>
      </c>
      <c r="V15" s="291" t="s">
        <v>325</v>
      </c>
      <c r="W15" s="97"/>
      <c r="X15" s="292">
        <v>0</v>
      </c>
    </row>
    <row r="16" spans="1:27" ht="18" customHeight="1">
      <c r="A16" s="288">
        <v>173880101</v>
      </c>
      <c r="B16" s="289" t="s">
        <v>323</v>
      </c>
      <c r="C16" s="290" t="s">
        <v>329</v>
      </c>
      <c r="D16" s="291" t="s">
        <v>325</v>
      </c>
      <c r="E16" s="290" t="s">
        <v>330</v>
      </c>
      <c r="F16" s="291" t="s">
        <v>325</v>
      </c>
      <c r="G16" s="292">
        <v>9.76</v>
      </c>
      <c r="H16" s="292">
        <v>0</v>
      </c>
      <c r="I16" s="297">
        <v>9.76</v>
      </c>
      <c r="J16" s="294">
        <v>41508</v>
      </c>
      <c r="K16" s="294">
        <v>41508</v>
      </c>
      <c r="L16" s="295">
        <v>31</v>
      </c>
      <c r="M16" s="296" t="s">
        <v>327</v>
      </c>
      <c r="N16" s="298" t="s">
        <v>325</v>
      </c>
      <c r="O16" s="295">
        <v>50</v>
      </c>
      <c r="P16" s="97"/>
      <c r="Q16" s="97"/>
      <c r="R16" s="292">
        <v>9.76</v>
      </c>
      <c r="S16" s="97"/>
      <c r="T16" s="97"/>
      <c r="U16" s="291" t="s">
        <v>325</v>
      </c>
      <c r="V16" s="291" t="s">
        <v>325</v>
      </c>
      <c r="W16" s="97"/>
      <c r="X16" s="292">
        <v>0</v>
      </c>
    </row>
    <row r="17" spans="1:24" ht="18" customHeight="1">
      <c r="A17" s="288">
        <v>208811116</v>
      </c>
      <c r="B17" s="289" t="s">
        <v>323</v>
      </c>
      <c r="C17" s="290" t="s">
        <v>331</v>
      </c>
      <c r="D17" s="291" t="s">
        <v>325</v>
      </c>
      <c r="E17" s="290" t="s">
        <v>332</v>
      </c>
      <c r="F17" s="291" t="s">
        <v>325</v>
      </c>
      <c r="G17" s="292">
        <v>132.87</v>
      </c>
      <c r="H17" s="292">
        <v>0</v>
      </c>
      <c r="I17" s="297">
        <v>132.87</v>
      </c>
      <c r="J17" s="294">
        <v>41500</v>
      </c>
      <c r="K17" s="294">
        <v>41495</v>
      </c>
      <c r="L17" s="295">
        <v>30</v>
      </c>
      <c r="M17" s="296" t="s">
        <v>327</v>
      </c>
      <c r="N17" s="296" t="s">
        <v>333</v>
      </c>
      <c r="O17" s="295">
        <v>1341</v>
      </c>
      <c r="P17" s="295">
        <v>6.9</v>
      </c>
      <c r="Q17" s="295">
        <v>0.26992753623188404</v>
      </c>
      <c r="R17" s="292">
        <v>132.87</v>
      </c>
      <c r="S17" s="97"/>
      <c r="T17" s="97"/>
      <c r="U17" s="291" t="s">
        <v>325</v>
      </c>
      <c r="V17" s="291" t="s">
        <v>325</v>
      </c>
      <c r="W17" s="97"/>
      <c r="X17" s="292">
        <v>0</v>
      </c>
    </row>
    <row r="18" spans="1:24" ht="18" customHeight="1">
      <c r="A18" s="288">
        <v>248811109</v>
      </c>
      <c r="B18" s="289" t="s">
        <v>323</v>
      </c>
      <c r="C18" s="290" t="s">
        <v>334</v>
      </c>
      <c r="D18" s="291" t="s">
        <v>325</v>
      </c>
      <c r="E18" s="291" t="s">
        <v>325</v>
      </c>
      <c r="F18" s="290" t="s">
        <v>335</v>
      </c>
      <c r="G18" s="292">
        <v>43.23</v>
      </c>
      <c r="H18" s="292">
        <v>0</v>
      </c>
      <c r="I18" s="297">
        <v>43.23</v>
      </c>
      <c r="J18" s="294">
        <v>41500</v>
      </c>
      <c r="K18" s="97"/>
      <c r="L18" s="97"/>
      <c r="M18" s="298" t="s">
        <v>325</v>
      </c>
      <c r="N18" s="298" t="s">
        <v>325</v>
      </c>
      <c r="O18" s="97"/>
      <c r="P18" s="97"/>
      <c r="Q18" s="97"/>
      <c r="R18" s="292">
        <v>0</v>
      </c>
      <c r="S18" s="294">
        <v>41498</v>
      </c>
      <c r="T18" s="295">
        <v>32</v>
      </c>
      <c r="U18" s="290" t="s">
        <v>327</v>
      </c>
      <c r="V18" s="290" t="s">
        <v>336</v>
      </c>
      <c r="W18" s="295">
        <v>63</v>
      </c>
      <c r="X18" s="292">
        <v>43.23</v>
      </c>
    </row>
    <row r="19" spans="1:24" ht="18" customHeight="1">
      <c r="A19" s="288">
        <v>288811101</v>
      </c>
      <c r="B19" s="289" t="s">
        <v>323</v>
      </c>
      <c r="C19" s="290" t="s">
        <v>337</v>
      </c>
      <c r="D19" s="291" t="s">
        <v>325</v>
      </c>
      <c r="E19" s="290" t="s">
        <v>332</v>
      </c>
      <c r="F19" s="291" t="s">
        <v>325</v>
      </c>
      <c r="G19" s="292">
        <v>626.79999999999995</v>
      </c>
      <c r="H19" s="292">
        <v>0</v>
      </c>
      <c r="I19" s="299">
        <v>626.79999999999995</v>
      </c>
      <c r="J19" s="294">
        <v>41500</v>
      </c>
      <c r="K19" s="294">
        <v>41495</v>
      </c>
      <c r="L19" s="295">
        <v>30</v>
      </c>
      <c r="M19" s="296" t="s">
        <v>327</v>
      </c>
      <c r="N19" s="296" t="s">
        <v>338</v>
      </c>
      <c r="O19" s="295">
        <v>11360</v>
      </c>
      <c r="P19" s="295">
        <v>48</v>
      </c>
      <c r="Q19" s="295">
        <v>0.32870370370370372</v>
      </c>
      <c r="R19" s="292">
        <v>626.79999999999995</v>
      </c>
      <c r="S19" s="97"/>
      <c r="T19" s="97"/>
      <c r="U19" s="291" t="s">
        <v>325</v>
      </c>
      <c r="V19" s="291" t="s">
        <v>325</v>
      </c>
      <c r="W19" s="97"/>
      <c r="X19" s="292">
        <v>0</v>
      </c>
    </row>
    <row r="20" spans="1:24" ht="18" customHeight="1">
      <c r="A20" s="288">
        <v>293879106</v>
      </c>
      <c r="B20" s="289" t="s">
        <v>323</v>
      </c>
      <c r="C20" s="290" t="s">
        <v>339</v>
      </c>
      <c r="D20" s="290" t="s">
        <v>340</v>
      </c>
      <c r="E20" s="290" t="s">
        <v>330</v>
      </c>
      <c r="F20" s="291" t="s">
        <v>325</v>
      </c>
      <c r="G20" s="292">
        <v>245.42</v>
      </c>
      <c r="H20" s="292">
        <v>0</v>
      </c>
      <c r="I20" s="297">
        <v>245.42</v>
      </c>
      <c r="J20" s="294">
        <v>41508</v>
      </c>
      <c r="K20" s="294">
        <v>41508</v>
      </c>
      <c r="L20" s="295">
        <v>31</v>
      </c>
      <c r="M20" s="296" t="s">
        <v>327</v>
      </c>
      <c r="N20" s="298" t="s">
        <v>325</v>
      </c>
      <c r="O20" s="295">
        <v>625</v>
      </c>
      <c r="P20" s="97"/>
      <c r="Q20" s="97"/>
      <c r="R20" s="292">
        <v>245.42</v>
      </c>
      <c r="S20" s="97"/>
      <c r="T20" s="97"/>
      <c r="U20" s="291" t="s">
        <v>325</v>
      </c>
      <c r="V20" s="291" t="s">
        <v>325</v>
      </c>
      <c r="W20" s="97"/>
      <c r="X20" s="292">
        <v>0</v>
      </c>
    </row>
    <row r="21" spans="1:24" ht="18" customHeight="1">
      <c r="A21" s="288">
        <v>308809118</v>
      </c>
      <c r="B21" s="289" t="s">
        <v>323</v>
      </c>
      <c r="C21" s="290" t="s">
        <v>341</v>
      </c>
      <c r="D21" s="291" t="s">
        <v>325</v>
      </c>
      <c r="E21" s="290" t="s">
        <v>342</v>
      </c>
      <c r="F21" s="290" t="s">
        <v>236</v>
      </c>
      <c r="G21" s="292">
        <v>79.83</v>
      </c>
      <c r="H21" s="292">
        <v>0</v>
      </c>
      <c r="I21" s="297">
        <v>79.83</v>
      </c>
      <c r="J21" s="294">
        <v>41500</v>
      </c>
      <c r="K21" s="294">
        <v>41498</v>
      </c>
      <c r="L21" s="295">
        <v>32</v>
      </c>
      <c r="M21" s="296" t="s">
        <v>327</v>
      </c>
      <c r="N21" s="296" t="s">
        <v>237</v>
      </c>
      <c r="O21" s="295">
        <v>311</v>
      </c>
      <c r="P21" s="97"/>
      <c r="Q21" s="97"/>
      <c r="R21" s="292">
        <v>31.33</v>
      </c>
      <c r="S21" s="294">
        <v>41498</v>
      </c>
      <c r="T21" s="295">
        <v>32</v>
      </c>
      <c r="U21" s="290" t="s">
        <v>327</v>
      </c>
      <c r="V21" s="290" t="s">
        <v>238</v>
      </c>
      <c r="W21" s="295">
        <v>37</v>
      </c>
      <c r="X21" s="292">
        <v>48.5</v>
      </c>
    </row>
    <row r="22" spans="1:24" ht="18" customHeight="1">
      <c r="A22" s="288">
        <v>375074007</v>
      </c>
      <c r="B22" s="289" t="s">
        <v>323</v>
      </c>
      <c r="C22" s="290" t="s">
        <v>239</v>
      </c>
      <c r="D22" s="291" t="s">
        <v>325</v>
      </c>
      <c r="E22" s="290" t="s">
        <v>326</v>
      </c>
      <c r="F22" s="291" t="s">
        <v>325</v>
      </c>
      <c r="G22" s="292">
        <v>58.66</v>
      </c>
      <c r="H22" s="292">
        <v>0</v>
      </c>
      <c r="I22" s="297">
        <v>58.66</v>
      </c>
      <c r="J22" s="294">
        <v>41508</v>
      </c>
      <c r="K22" s="294">
        <v>41506</v>
      </c>
      <c r="L22" s="295">
        <v>63</v>
      </c>
      <c r="M22" s="296" t="s">
        <v>327</v>
      </c>
      <c r="N22" s="296" t="s">
        <v>129</v>
      </c>
      <c r="O22" s="295">
        <v>308</v>
      </c>
      <c r="P22" s="97"/>
      <c r="Q22" s="97"/>
      <c r="R22" s="292">
        <v>58.66</v>
      </c>
      <c r="S22" s="97"/>
      <c r="T22" s="97"/>
      <c r="U22" s="291" t="s">
        <v>325</v>
      </c>
      <c r="V22" s="291" t="s">
        <v>325</v>
      </c>
      <c r="W22" s="97"/>
      <c r="X22" s="292">
        <v>0</v>
      </c>
    </row>
    <row r="23" spans="1:24" ht="18" customHeight="1">
      <c r="A23" s="288">
        <v>783104003</v>
      </c>
      <c r="B23" s="289" t="s">
        <v>323</v>
      </c>
      <c r="C23" s="290" t="s">
        <v>242</v>
      </c>
      <c r="D23" s="291" t="s">
        <v>325</v>
      </c>
      <c r="E23" s="290" t="s">
        <v>326</v>
      </c>
      <c r="F23" s="291" t="s">
        <v>325</v>
      </c>
      <c r="G23" s="292">
        <v>21.5</v>
      </c>
      <c r="H23" s="292">
        <v>0</v>
      </c>
      <c r="I23" s="297">
        <v>21.5</v>
      </c>
      <c r="J23" s="294">
        <v>41500</v>
      </c>
      <c r="K23" s="294">
        <v>41495</v>
      </c>
      <c r="L23" s="295">
        <v>29</v>
      </c>
      <c r="M23" s="296" t="s">
        <v>327</v>
      </c>
      <c r="N23" s="296" t="s">
        <v>243</v>
      </c>
      <c r="O23" s="295">
        <v>15</v>
      </c>
      <c r="P23" s="97"/>
      <c r="Q23" s="97"/>
      <c r="R23" s="292">
        <v>21.5</v>
      </c>
      <c r="S23" s="97"/>
      <c r="T23" s="97"/>
      <c r="U23" s="291" t="s">
        <v>325</v>
      </c>
      <c r="V23" s="291" t="s">
        <v>325</v>
      </c>
      <c r="W23" s="97"/>
      <c r="X23" s="292">
        <v>0</v>
      </c>
    </row>
    <row r="24" spans="1:24" ht="18" customHeight="1">
      <c r="A24" s="288">
        <v>852028007</v>
      </c>
      <c r="B24" s="289" t="s">
        <v>323</v>
      </c>
      <c r="C24" s="290" t="s">
        <v>244</v>
      </c>
      <c r="D24" s="291" t="s">
        <v>325</v>
      </c>
      <c r="E24" s="291" t="s">
        <v>325</v>
      </c>
      <c r="F24" s="290" t="s">
        <v>335</v>
      </c>
      <c r="G24" s="292">
        <v>24.51</v>
      </c>
      <c r="H24" s="292">
        <v>0</v>
      </c>
      <c r="I24" s="297">
        <v>24.51</v>
      </c>
      <c r="J24" s="294">
        <v>41508</v>
      </c>
      <c r="K24" s="97"/>
      <c r="L24" s="97"/>
      <c r="M24" s="298" t="s">
        <v>325</v>
      </c>
      <c r="N24" s="298" t="s">
        <v>325</v>
      </c>
      <c r="O24" s="97"/>
      <c r="P24" s="97"/>
      <c r="Q24" s="97"/>
      <c r="R24" s="292">
        <v>0</v>
      </c>
      <c r="S24" s="294">
        <v>41506</v>
      </c>
      <c r="T24" s="295">
        <v>33</v>
      </c>
      <c r="U24" s="290" t="s">
        <v>327</v>
      </c>
      <c r="V24" s="290" t="s">
        <v>245</v>
      </c>
      <c r="W24" s="295">
        <v>5</v>
      </c>
      <c r="X24" s="292">
        <v>24.51</v>
      </c>
    </row>
    <row r="25" spans="1:24" ht="18" customHeight="1">
      <c r="A25" s="288">
        <v>893816110</v>
      </c>
      <c r="B25" s="289" t="s">
        <v>323</v>
      </c>
      <c r="C25" s="290" t="s">
        <v>246</v>
      </c>
      <c r="D25" s="291" t="s">
        <v>325</v>
      </c>
      <c r="E25" s="290" t="s">
        <v>326</v>
      </c>
      <c r="F25" s="291" t="s">
        <v>325</v>
      </c>
      <c r="G25" s="292">
        <v>25.52</v>
      </c>
      <c r="H25" s="292">
        <v>0</v>
      </c>
      <c r="I25" s="297">
        <v>25.52</v>
      </c>
      <c r="J25" s="294">
        <v>41508</v>
      </c>
      <c r="K25" s="294">
        <v>41505</v>
      </c>
      <c r="L25" s="295">
        <v>33</v>
      </c>
      <c r="M25" s="296" t="s">
        <v>327</v>
      </c>
      <c r="N25" s="296" t="s">
        <v>133</v>
      </c>
      <c r="O25" s="295">
        <v>85</v>
      </c>
      <c r="P25" s="97"/>
      <c r="Q25" s="97"/>
      <c r="R25" s="292">
        <v>25.52</v>
      </c>
      <c r="S25" s="97"/>
      <c r="T25" s="97"/>
      <c r="U25" s="291" t="s">
        <v>325</v>
      </c>
      <c r="V25" s="291" t="s">
        <v>325</v>
      </c>
      <c r="W25" s="97"/>
      <c r="X25" s="292">
        <v>0</v>
      </c>
    </row>
    <row r="26" spans="1:24" ht="18" customHeight="1">
      <c r="A26" s="288">
        <v>893819102</v>
      </c>
      <c r="B26" s="289" t="s">
        <v>323</v>
      </c>
      <c r="C26" s="290" t="s">
        <v>248</v>
      </c>
      <c r="D26" s="291" t="s">
        <v>325</v>
      </c>
      <c r="E26" s="291" t="s">
        <v>325</v>
      </c>
      <c r="F26" s="290" t="s">
        <v>335</v>
      </c>
      <c r="G26" s="292">
        <v>23.77</v>
      </c>
      <c r="H26" s="292">
        <v>0</v>
      </c>
      <c r="I26" s="297">
        <v>23.77</v>
      </c>
      <c r="J26" s="294">
        <v>41508</v>
      </c>
      <c r="K26" s="97"/>
      <c r="L26" s="97"/>
      <c r="M26" s="298" t="s">
        <v>325</v>
      </c>
      <c r="N26" s="298" t="s">
        <v>325</v>
      </c>
      <c r="O26" s="97"/>
      <c r="P26" s="97"/>
      <c r="Q26" s="97"/>
      <c r="R26" s="292">
        <v>0</v>
      </c>
      <c r="S26" s="294">
        <v>41506</v>
      </c>
      <c r="T26" s="295">
        <v>33</v>
      </c>
      <c r="U26" s="290" t="s">
        <v>327</v>
      </c>
      <c r="V26" s="290" t="s">
        <v>249</v>
      </c>
      <c r="W26" s="295">
        <v>0</v>
      </c>
      <c r="X26" s="292">
        <v>23.77</v>
      </c>
    </row>
    <row r="27" spans="1:24" ht="18" customHeight="1">
      <c r="A27" s="288">
        <v>913819100</v>
      </c>
      <c r="B27" s="289" t="s">
        <v>323</v>
      </c>
      <c r="C27" s="290" t="s">
        <v>250</v>
      </c>
      <c r="D27" s="291" t="s">
        <v>325</v>
      </c>
      <c r="E27" s="291" t="s">
        <v>325</v>
      </c>
      <c r="F27" s="290" t="s">
        <v>335</v>
      </c>
      <c r="G27" s="292">
        <v>23.77</v>
      </c>
      <c r="H27" s="292">
        <v>0</v>
      </c>
      <c r="I27" s="297">
        <v>23.77</v>
      </c>
      <c r="J27" s="294">
        <v>41508</v>
      </c>
      <c r="K27" s="97"/>
      <c r="L27" s="97"/>
      <c r="M27" s="298" t="s">
        <v>325</v>
      </c>
      <c r="N27" s="298" t="s">
        <v>325</v>
      </c>
      <c r="O27" s="97"/>
      <c r="P27" s="97"/>
      <c r="Q27" s="97"/>
      <c r="R27" s="292">
        <v>0</v>
      </c>
      <c r="S27" s="294">
        <v>41506</v>
      </c>
      <c r="T27" s="295">
        <v>33</v>
      </c>
      <c r="U27" s="290" t="s">
        <v>327</v>
      </c>
      <c r="V27" s="290" t="s">
        <v>251</v>
      </c>
      <c r="W27" s="295">
        <v>0</v>
      </c>
      <c r="X27" s="292">
        <v>23.77</v>
      </c>
    </row>
    <row r="28" spans="1:24" ht="18" customHeight="1">
      <c r="A28" s="288">
        <v>933819115</v>
      </c>
      <c r="B28" s="289" t="s">
        <v>323</v>
      </c>
      <c r="C28" s="290" t="s">
        <v>252</v>
      </c>
      <c r="D28" s="291" t="s">
        <v>325</v>
      </c>
      <c r="E28" s="291" t="s">
        <v>325</v>
      </c>
      <c r="F28" s="290" t="s">
        <v>335</v>
      </c>
      <c r="G28" s="292">
        <v>23.77</v>
      </c>
      <c r="H28" s="292">
        <v>0</v>
      </c>
      <c r="I28" s="297">
        <v>23.77</v>
      </c>
      <c r="J28" s="294">
        <v>41508</v>
      </c>
      <c r="K28" s="97"/>
      <c r="L28" s="97"/>
      <c r="M28" s="298" t="s">
        <v>325</v>
      </c>
      <c r="N28" s="298" t="s">
        <v>325</v>
      </c>
      <c r="O28" s="97"/>
      <c r="P28" s="97"/>
      <c r="Q28" s="97"/>
      <c r="R28" s="292">
        <v>0</v>
      </c>
      <c r="S28" s="294">
        <v>41506</v>
      </c>
      <c r="T28" s="295">
        <v>33</v>
      </c>
      <c r="U28" s="290" t="s">
        <v>327</v>
      </c>
      <c r="V28" s="290" t="s">
        <v>253</v>
      </c>
      <c r="W28" s="295">
        <v>0</v>
      </c>
      <c r="X28" s="292">
        <v>23.77</v>
      </c>
    </row>
    <row r="29" spans="1:24" ht="18" customHeight="1">
      <c r="A29" s="288">
        <v>948810124</v>
      </c>
      <c r="B29" s="289" t="s">
        <v>323</v>
      </c>
      <c r="C29" s="290" t="s">
        <v>254</v>
      </c>
      <c r="D29" s="291" t="s">
        <v>325</v>
      </c>
      <c r="E29" s="290" t="s">
        <v>255</v>
      </c>
      <c r="F29" s="291" t="s">
        <v>325</v>
      </c>
      <c r="G29" s="292">
        <v>70.84</v>
      </c>
      <c r="H29" s="292">
        <v>0</v>
      </c>
      <c r="I29" s="297">
        <v>70.84</v>
      </c>
      <c r="J29" s="294">
        <v>41500</v>
      </c>
      <c r="K29" s="294">
        <v>41495</v>
      </c>
      <c r="L29" s="295">
        <v>30</v>
      </c>
      <c r="M29" s="296" t="s">
        <v>327</v>
      </c>
      <c r="N29" s="296" t="s">
        <v>256</v>
      </c>
      <c r="O29" s="295">
        <v>394</v>
      </c>
      <c r="P29" s="97"/>
      <c r="Q29" s="97"/>
      <c r="R29" s="292">
        <v>70.84</v>
      </c>
      <c r="S29" s="97"/>
      <c r="T29" s="97"/>
      <c r="U29" s="291" t="s">
        <v>325</v>
      </c>
      <c r="V29" s="291" t="s">
        <v>325</v>
      </c>
      <c r="W29" s="97"/>
      <c r="X29" s="292">
        <v>0</v>
      </c>
    </row>
    <row r="30" spans="1:24" ht="18" customHeight="1">
      <c r="A30" s="288">
        <v>1028809119</v>
      </c>
      <c r="B30" s="289" t="s">
        <v>323</v>
      </c>
      <c r="C30" s="290" t="s">
        <v>257</v>
      </c>
      <c r="D30" s="291" t="s">
        <v>325</v>
      </c>
      <c r="E30" s="290" t="s">
        <v>255</v>
      </c>
      <c r="F30" s="291" t="s">
        <v>325</v>
      </c>
      <c r="G30" s="292">
        <v>20.62</v>
      </c>
      <c r="H30" s="292">
        <v>0</v>
      </c>
      <c r="I30" s="297">
        <v>20.62</v>
      </c>
      <c r="J30" s="294">
        <v>41500</v>
      </c>
      <c r="K30" s="294">
        <v>41498</v>
      </c>
      <c r="L30" s="295">
        <v>32</v>
      </c>
      <c r="M30" s="296" t="s">
        <v>327</v>
      </c>
      <c r="N30" s="296" t="s">
        <v>258</v>
      </c>
      <c r="O30" s="295">
        <v>0</v>
      </c>
      <c r="P30" s="97"/>
      <c r="Q30" s="97"/>
      <c r="R30" s="292">
        <v>20.62</v>
      </c>
      <c r="S30" s="97"/>
      <c r="T30" s="97"/>
      <c r="U30" s="291" t="s">
        <v>325</v>
      </c>
      <c r="V30" s="291" t="s">
        <v>325</v>
      </c>
      <c r="W30" s="97"/>
      <c r="X30" s="292">
        <v>0</v>
      </c>
    </row>
    <row r="31" spans="1:24" ht="18" customHeight="1">
      <c r="A31" s="288">
        <v>1133133008</v>
      </c>
      <c r="B31" s="289" t="s">
        <v>323</v>
      </c>
      <c r="C31" s="290" t="s">
        <v>259</v>
      </c>
      <c r="D31" s="291" t="s">
        <v>325</v>
      </c>
      <c r="E31" s="290" t="s">
        <v>326</v>
      </c>
      <c r="F31" s="291" t="s">
        <v>325</v>
      </c>
      <c r="G31" s="292">
        <v>59.5</v>
      </c>
      <c r="H31" s="292">
        <v>29.34</v>
      </c>
      <c r="I31" s="297">
        <v>30.16</v>
      </c>
      <c r="J31" s="294">
        <v>41493</v>
      </c>
      <c r="K31" s="294">
        <v>41491</v>
      </c>
      <c r="L31" s="295">
        <v>31</v>
      </c>
      <c r="M31" s="296" t="s">
        <v>327</v>
      </c>
      <c r="N31" s="296" t="s">
        <v>260</v>
      </c>
      <c r="O31" s="295">
        <v>166</v>
      </c>
      <c r="P31" s="97"/>
      <c r="Q31" s="97"/>
      <c r="R31" s="292">
        <v>30.16</v>
      </c>
      <c r="S31" s="97"/>
      <c r="T31" s="97"/>
      <c r="U31" s="291" t="s">
        <v>325</v>
      </c>
      <c r="V31" s="291" t="s">
        <v>325</v>
      </c>
      <c r="W31" s="97"/>
      <c r="X31" s="292">
        <v>0</v>
      </c>
    </row>
    <row r="32" spans="1:24" ht="18" customHeight="1">
      <c r="A32" s="288">
        <v>1133819101</v>
      </c>
      <c r="B32" s="289" t="s">
        <v>323</v>
      </c>
      <c r="C32" s="290" t="s">
        <v>261</v>
      </c>
      <c r="D32" s="291" t="s">
        <v>325</v>
      </c>
      <c r="E32" s="290" t="s">
        <v>326</v>
      </c>
      <c r="F32" s="291" t="s">
        <v>325</v>
      </c>
      <c r="G32" s="292">
        <v>48.98</v>
      </c>
      <c r="H32" s="292">
        <v>0</v>
      </c>
      <c r="I32" s="297">
        <v>48.98</v>
      </c>
      <c r="J32" s="294">
        <v>41508</v>
      </c>
      <c r="K32" s="294">
        <v>41506</v>
      </c>
      <c r="L32" s="295">
        <v>33</v>
      </c>
      <c r="M32" s="296" t="s">
        <v>327</v>
      </c>
      <c r="N32" s="296" t="s">
        <v>262</v>
      </c>
      <c r="O32" s="295">
        <v>493</v>
      </c>
      <c r="P32" s="97"/>
      <c r="Q32" s="97"/>
      <c r="R32" s="292">
        <v>48.98</v>
      </c>
      <c r="S32" s="97"/>
      <c r="T32" s="97"/>
      <c r="U32" s="291" t="s">
        <v>325</v>
      </c>
      <c r="V32" s="291" t="s">
        <v>325</v>
      </c>
      <c r="W32" s="97"/>
      <c r="X32" s="292">
        <v>0</v>
      </c>
    </row>
    <row r="33" spans="1:24" ht="18" customHeight="1">
      <c r="A33" s="288">
        <v>1193808115</v>
      </c>
      <c r="B33" s="289" t="s">
        <v>323</v>
      </c>
      <c r="C33" s="290" t="s">
        <v>263</v>
      </c>
      <c r="D33" s="291" t="s">
        <v>325</v>
      </c>
      <c r="E33" s="290" t="s">
        <v>326</v>
      </c>
      <c r="F33" s="291" t="s">
        <v>325</v>
      </c>
      <c r="G33" s="292">
        <v>24.65</v>
      </c>
      <c r="H33" s="292">
        <v>0</v>
      </c>
      <c r="I33" s="297">
        <v>24.65</v>
      </c>
      <c r="J33" s="294">
        <v>41508</v>
      </c>
      <c r="K33" s="294">
        <v>41506</v>
      </c>
      <c r="L33" s="295">
        <v>32</v>
      </c>
      <c r="M33" s="296" t="s">
        <v>327</v>
      </c>
      <c r="N33" s="296" t="s">
        <v>264</v>
      </c>
      <c r="O33" s="295">
        <v>70</v>
      </c>
      <c r="P33" s="97"/>
      <c r="Q33" s="97"/>
      <c r="R33" s="292">
        <v>24.65</v>
      </c>
      <c r="S33" s="97"/>
      <c r="T33" s="97"/>
      <c r="U33" s="291" t="s">
        <v>325</v>
      </c>
      <c r="V33" s="291" t="s">
        <v>325</v>
      </c>
      <c r="W33" s="97"/>
      <c r="X33" s="292">
        <v>0</v>
      </c>
    </row>
    <row r="34" spans="1:24" ht="18" customHeight="1">
      <c r="A34" s="288">
        <v>1492627005</v>
      </c>
      <c r="B34" s="289" t="s">
        <v>323</v>
      </c>
      <c r="C34" s="290" t="s">
        <v>265</v>
      </c>
      <c r="D34" s="291" t="s">
        <v>325</v>
      </c>
      <c r="E34" s="290" t="s">
        <v>326</v>
      </c>
      <c r="F34" s="291" t="s">
        <v>325</v>
      </c>
      <c r="G34" s="292">
        <v>25.57</v>
      </c>
      <c r="H34" s="292">
        <v>0</v>
      </c>
      <c r="I34" s="297">
        <v>25.57</v>
      </c>
      <c r="J34" s="294">
        <v>41500</v>
      </c>
      <c r="K34" s="294">
        <v>41495</v>
      </c>
      <c r="L34" s="295">
        <v>29</v>
      </c>
      <c r="M34" s="296" t="s">
        <v>327</v>
      </c>
      <c r="N34" s="296" t="s">
        <v>266</v>
      </c>
      <c r="O34" s="295">
        <v>86</v>
      </c>
      <c r="P34" s="97"/>
      <c r="Q34" s="97"/>
      <c r="R34" s="292">
        <v>25.57</v>
      </c>
      <c r="S34" s="97"/>
      <c r="T34" s="97"/>
      <c r="U34" s="291" t="s">
        <v>325</v>
      </c>
      <c r="V34" s="291" t="s">
        <v>325</v>
      </c>
      <c r="W34" s="97"/>
      <c r="X34" s="292">
        <v>0</v>
      </c>
    </row>
    <row r="35" spans="1:24" ht="18" customHeight="1">
      <c r="A35" s="288">
        <v>1513818115</v>
      </c>
      <c r="B35" s="289" t="s">
        <v>323</v>
      </c>
      <c r="C35" s="290" t="s">
        <v>267</v>
      </c>
      <c r="D35" s="291" t="s">
        <v>325</v>
      </c>
      <c r="E35" s="290" t="s">
        <v>326</v>
      </c>
      <c r="F35" s="291" t="s">
        <v>325</v>
      </c>
      <c r="G35" s="292">
        <v>29.07</v>
      </c>
      <c r="H35" s="292">
        <v>0</v>
      </c>
      <c r="I35" s="297">
        <v>29.07</v>
      </c>
      <c r="J35" s="294">
        <v>41508</v>
      </c>
      <c r="K35" s="294">
        <v>41506</v>
      </c>
      <c r="L35" s="295">
        <v>33</v>
      </c>
      <c r="M35" s="296" t="s">
        <v>327</v>
      </c>
      <c r="N35" s="296" t="s">
        <v>268</v>
      </c>
      <c r="O35" s="295">
        <v>147</v>
      </c>
      <c r="P35" s="97"/>
      <c r="Q35" s="97"/>
      <c r="R35" s="292">
        <v>29.07</v>
      </c>
      <c r="S35" s="97"/>
      <c r="T35" s="97"/>
      <c r="U35" s="291" t="s">
        <v>325</v>
      </c>
      <c r="V35" s="291" t="s">
        <v>325</v>
      </c>
      <c r="W35" s="97"/>
      <c r="X35" s="292">
        <v>0</v>
      </c>
    </row>
    <row r="36" spans="1:24" ht="18" customHeight="1">
      <c r="A36" s="288">
        <v>1608811106</v>
      </c>
      <c r="B36" s="289" t="s">
        <v>323</v>
      </c>
      <c r="C36" s="290" t="s">
        <v>337</v>
      </c>
      <c r="D36" s="291" t="s">
        <v>325</v>
      </c>
      <c r="E36" s="290" t="s">
        <v>332</v>
      </c>
      <c r="F36" s="291" t="s">
        <v>325</v>
      </c>
      <c r="G36" s="292">
        <v>650.96</v>
      </c>
      <c r="H36" s="292">
        <v>0</v>
      </c>
      <c r="I36" s="297">
        <v>650.96</v>
      </c>
      <c r="J36" s="294">
        <v>41500</v>
      </c>
      <c r="K36" s="294">
        <v>41495</v>
      </c>
      <c r="L36" s="295">
        <v>30</v>
      </c>
      <c r="M36" s="296" t="s">
        <v>327</v>
      </c>
      <c r="N36" s="296" t="s">
        <v>111</v>
      </c>
      <c r="O36" s="295">
        <v>5765</v>
      </c>
      <c r="P36" s="295">
        <v>53.7</v>
      </c>
      <c r="Q36" s="295">
        <v>0.14910511069728946</v>
      </c>
      <c r="R36" s="292">
        <v>650.96</v>
      </c>
      <c r="S36" s="97"/>
      <c r="T36" s="97"/>
      <c r="U36" s="291" t="s">
        <v>325</v>
      </c>
      <c r="V36" s="291" t="s">
        <v>325</v>
      </c>
      <c r="W36" s="97"/>
      <c r="X36" s="292">
        <v>0</v>
      </c>
    </row>
    <row r="37" spans="1:24" ht="18" customHeight="1">
      <c r="A37" s="288">
        <v>1653819107</v>
      </c>
      <c r="B37" s="289" t="s">
        <v>323</v>
      </c>
      <c r="C37" s="290" t="s">
        <v>270</v>
      </c>
      <c r="D37" s="291" t="s">
        <v>325</v>
      </c>
      <c r="E37" s="290" t="s">
        <v>326</v>
      </c>
      <c r="F37" s="291" t="s">
        <v>325</v>
      </c>
      <c r="G37" s="292">
        <v>74.59</v>
      </c>
      <c r="H37" s="292">
        <v>0</v>
      </c>
      <c r="I37" s="297">
        <v>74.59</v>
      </c>
      <c r="J37" s="294">
        <v>41508</v>
      </c>
      <c r="K37" s="294">
        <v>41507</v>
      </c>
      <c r="L37" s="295">
        <v>34</v>
      </c>
      <c r="M37" s="296" t="s">
        <v>327</v>
      </c>
      <c r="N37" s="296" t="s">
        <v>271</v>
      </c>
      <c r="O37" s="295">
        <v>938</v>
      </c>
      <c r="P37" s="97"/>
      <c r="Q37" s="97"/>
      <c r="R37" s="292">
        <v>74.59</v>
      </c>
      <c r="S37" s="97"/>
      <c r="T37" s="97"/>
      <c r="U37" s="291" t="s">
        <v>325</v>
      </c>
      <c r="V37" s="291" t="s">
        <v>325</v>
      </c>
      <c r="W37" s="97"/>
      <c r="X37" s="292">
        <v>0</v>
      </c>
    </row>
    <row r="38" spans="1:24" ht="18" customHeight="1">
      <c r="A38" s="288">
        <v>1833820108</v>
      </c>
      <c r="B38" s="289" t="s">
        <v>323</v>
      </c>
      <c r="C38" s="290" t="s">
        <v>272</v>
      </c>
      <c r="D38" s="291" t="s">
        <v>325</v>
      </c>
      <c r="E38" s="290" t="s">
        <v>326</v>
      </c>
      <c r="F38" s="291" t="s">
        <v>325</v>
      </c>
      <c r="G38" s="292">
        <v>73.739999999999995</v>
      </c>
      <c r="H38" s="292">
        <v>0</v>
      </c>
      <c r="I38" s="297">
        <v>73.739999999999995</v>
      </c>
      <c r="J38" s="294">
        <v>41508</v>
      </c>
      <c r="K38" s="294">
        <v>41506</v>
      </c>
      <c r="L38" s="295">
        <v>33</v>
      </c>
      <c r="M38" s="296" t="s">
        <v>327</v>
      </c>
      <c r="N38" s="296" t="s">
        <v>273</v>
      </c>
      <c r="O38" s="295">
        <v>923</v>
      </c>
      <c r="P38" s="97"/>
      <c r="Q38" s="97"/>
      <c r="R38" s="292">
        <v>73.739999999999995</v>
      </c>
      <c r="S38" s="97"/>
      <c r="T38" s="97"/>
      <c r="U38" s="291" t="s">
        <v>325</v>
      </c>
      <c r="V38" s="291" t="s">
        <v>325</v>
      </c>
      <c r="W38" s="97"/>
      <c r="X38" s="292">
        <v>0</v>
      </c>
    </row>
    <row r="39" spans="1:24" ht="18" customHeight="1">
      <c r="A39" s="288">
        <v>1851009009</v>
      </c>
      <c r="B39" s="289" t="s">
        <v>323</v>
      </c>
      <c r="C39" s="290" t="s">
        <v>274</v>
      </c>
      <c r="D39" s="291" t="s">
        <v>325</v>
      </c>
      <c r="E39" s="290" t="s">
        <v>326</v>
      </c>
      <c r="F39" s="291" t="s">
        <v>325</v>
      </c>
      <c r="G39" s="292">
        <v>47.84</v>
      </c>
      <c r="H39" s="292">
        <v>0</v>
      </c>
      <c r="I39" s="297">
        <v>47.84</v>
      </c>
      <c r="J39" s="294">
        <v>41508</v>
      </c>
      <c r="K39" s="294">
        <v>41506</v>
      </c>
      <c r="L39" s="295">
        <v>33</v>
      </c>
      <c r="M39" s="296" t="s">
        <v>327</v>
      </c>
      <c r="N39" s="296" t="s">
        <v>275</v>
      </c>
      <c r="O39" s="295">
        <v>473</v>
      </c>
      <c r="P39" s="97"/>
      <c r="Q39" s="97"/>
      <c r="R39" s="292">
        <v>47.84</v>
      </c>
      <c r="S39" s="97"/>
      <c r="T39" s="97"/>
      <c r="U39" s="291" t="s">
        <v>325</v>
      </c>
      <c r="V39" s="291" t="s">
        <v>325</v>
      </c>
      <c r="W39" s="97"/>
      <c r="X39" s="292">
        <v>0</v>
      </c>
    </row>
    <row r="40" spans="1:24" ht="18" customHeight="1">
      <c r="A40" s="288">
        <v>1933810131</v>
      </c>
      <c r="B40" s="289" t="s">
        <v>323</v>
      </c>
      <c r="C40" s="290" t="s">
        <v>276</v>
      </c>
      <c r="D40" s="291" t="s">
        <v>325</v>
      </c>
      <c r="E40" s="290" t="s">
        <v>332</v>
      </c>
      <c r="F40" s="290" t="s">
        <v>277</v>
      </c>
      <c r="G40" s="292">
        <v>336.3</v>
      </c>
      <c r="H40" s="292">
        <v>0</v>
      </c>
      <c r="I40" s="297">
        <v>336.3</v>
      </c>
      <c r="J40" s="294">
        <v>41508</v>
      </c>
      <c r="K40" s="294">
        <v>41505</v>
      </c>
      <c r="L40" s="295">
        <v>33</v>
      </c>
      <c r="M40" s="296" t="s">
        <v>327</v>
      </c>
      <c r="N40" s="296" t="s">
        <v>278</v>
      </c>
      <c r="O40" s="295">
        <v>11271</v>
      </c>
      <c r="P40" s="295">
        <v>18</v>
      </c>
      <c r="Q40" s="295">
        <v>0.79061447811447816</v>
      </c>
      <c r="R40" s="292">
        <v>312.13</v>
      </c>
      <c r="S40" s="294">
        <v>41506</v>
      </c>
      <c r="T40" s="295">
        <v>33</v>
      </c>
      <c r="U40" s="290" t="s">
        <v>327</v>
      </c>
      <c r="V40" s="290" t="s">
        <v>279</v>
      </c>
      <c r="W40" s="295">
        <v>0</v>
      </c>
      <c r="X40" s="292">
        <v>24.17</v>
      </c>
    </row>
    <row r="41" spans="1:24" ht="18" customHeight="1">
      <c r="A41" s="288">
        <v>2133819102</v>
      </c>
      <c r="B41" s="289" t="s">
        <v>323</v>
      </c>
      <c r="C41" s="290" t="s">
        <v>280</v>
      </c>
      <c r="D41" s="291" t="s">
        <v>325</v>
      </c>
      <c r="E41" s="290" t="s">
        <v>332</v>
      </c>
      <c r="F41" s="291" t="s">
        <v>325</v>
      </c>
      <c r="G41" s="292">
        <v>145.88999999999999</v>
      </c>
      <c r="H41" s="292">
        <v>0</v>
      </c>
      <c r="I41" s="297">
        <v>145.88999999999999</v>
      </c>
      <c r="J41" s="294">
        <v>41508</v>
      </c>
      <c r="K41" s="294">
        <v>41505</v>
      </c>
      <c r="L41" s="295">
        <v>33</v>
      </c>
      <c r="M41" s="296" t="s">
        <v>327</v>
      </c>
      <c r="N41" s="296" t="s">
        <v>112</v>
      </c>
      <c r="O41" s="295">
        <v>917</v>
      </c>
      <c r="P41" s="295">
        <v>8.4</v>
      </c>
      <c r="Q41" s="295">
        <v>0.13783670033670034</v>
      </c>
      <c r="R41" s="292">
        <v>145.88999999999999</v>
      </c>
      <c r="S41" s="97"/>
      <c r="T41" s="97"/>
      <c r="U41" s="291" t="s">
        <v>325</v>
      </c>
      <c r="V41" s="291" t="s">
        <v>325</v>
      </c>
      <c r="W41" s="97"/>
      <c r="X41" s="292">
        <v>0</v>
      </c>
    </row>
    <row r="42" spans="1:24" ht="18" customHeight="1">
      <c r="A42" s="288">
        <v>2133821120</v>
      </c>
      <c r="B42" s="289" t="s">
        <v>323</v>
      </c>
      <c r="C42" s="290" t="s">
        <v>194</v>
      </c>
      <c r="D42" s="291" t="s">
        <v>325</v>
      </c>
      <c r="E42" s="290" t="s">
        <v>326</v>
      </c>
      <c r="F42" s="291" t="s">
        <v>325</v>
      </c>
      <c r="G42" s="292">
        <v>35.630000000000003</v>
      </c>
      <c r="H42" s="292">
        <v>0</v>
      </c>
      <c r="I42" s="297">
        <v>35.630000000000003</v>
      </c>
      <c r="J42" s="294">
        <v>41508</v>
      </c>
      <c r="K42" s="294">
        <v>41506</v>
      </c>
      <c r="L42" s="295">
        <v>32</v>
      </c>
      <c r="M42" s="296" t="s">
        <v>327</v>
      </c>
      <c r="N42" s="296" t="s">
        <v>195</v>
      </c>
      <c r="O42" s="295">
        <v>261</v>
      </c>
      <c r="P42" s="97"/>
      <c r="Q42" s="97"/>
      <c r="R42" s="292">
        <v>35.630000000000003</v>
      </c>
      <c r="S42" s="97"/>
      <c r="T42" s="97"/>
      <c r="U42" s="291" t="s">
        <v>325</v>
      </c>
      <c r="V42" s="291" t="s">
        <v>325</v>
      </c>
      <c r="W42" s="97"/>
      <c r="X42" s="292">
        <v>0</v>
      </c>
    </row>
    <row r="43" spans="1:24" ht="18" customHeight="1">
      <c r="A43" s="288">
        <v>2137454018</v>
      </c>
      <c r="B43" s="289" t="s">
        <v>323</v>
      </c>
      <c r="C43" s="290" t="s">
        <v>196</v>
      </c>
      <c r="D43" s="291" t="s">
        <v>325</v>
      </c>
      <c r="E43" s="290" t="s">
        <v>255</v>
      </c>
      <c r="F43" s="291" t="s">
        <v>325</v>
      </c>
      <c r="G43" s="292">
        <v>21.26</v>
      </c>
      <c r="H43" s="292">
        <v>0</v>
      </c>
      <c r="I43" s="297">
        <v>21.26</v>
      </c>
      <c r="J43" s="294">
        <v>41508</v>
      </c>
      <c r="K43" s="294">
        <v>41506</v>
      </c>
      <c r="L43" s="295">
        <v>33</v>
      </c>
      <c r="M43" s="296" t="s">
        <v>327</v>
      </c>
      <c r="N43" s="296" t="s">
        <v>197</v>
      </c>
      <c r="O43" s="295">
        <v>5</v>
      </c>
      <c r="P43" s="97"/>
      <c r="Q43" s="97"/>
      <c r="R43" s="292">
        <v>21.26</v>
      </c>
      <c r="S43" s="97"/>
      <c r="T43" s="97"/>
      <c r="U43" s="291" t="s">
        <v>325</v>
      </c>
      <c r="V43" s="291" t="s">
        <v>325</v>
      </c>
      <c r="W43" s="97"/>
      <c r="X43" s="292">
        <v>0</v>
      </c>
    </row>
    <row r="44" spans="1:24" ht="18" customHeight="1">
      <c r="A44" s="288">
        <v>2217686007</v>
      </c>
      <c r="B44" s="289" t="s">
        <v>323</v>
      </c>
      <c r="C44" s="290" t="s">
        <v>198</v>
      </c>
      <c r="D44" s="291" t="s">
        <v>325</v>
      </c>
      <c r="E44" s="290" t="s">
        <v>255</v>
      </c>
      <c r="F44" s="291" t="s">
        <v>325</v>
      </c>
      <c r="G44" s="292">
        <v>60.27</v>
      </c>
      <c r="H44" s="292">
        <v>0</v>
      </c>
      <c r="I44" s="297">
        <v>60.27</v>
      </c>
      <c r="J44" s="294">
        <v>41508</v>
      </c>
      <c r="K44" s="294">
        <v>41507</v>
      </c>
      <c r="L44" s="295">
        <v>34</v>
      </c>
      <c r="M44" s="296" t="s">
        <v>327</v>
      </c>
      <c r="N44" s="296" t="s">
        <v>199</v>
      </c>
      <c r="O44" s="295">
        <v>305</v>
      </c>
      <c r="P44" s="97"/>
      <c r="Q44" s="97"/>
      <c r="R44" s="292">
        <v>60.27</v>
      </c>
      <c r="S44" s="97"/>
      <c r="T44" s="97"/>
      <c r="U44" s="291" t="s">
        <v>325</v>
      </c>
      <c r="V44" s="291" t="s">
        <v>325</v>
      </c>
      <c r="W44" s="97"/>
      <c r="X44" s="292">
        <v>0</v>
      </c>
    </row>
    <row r="45" spans="1:24" ht="18" customHeight="1">
      <c r="A45" s="288">
        <v>2480127108</v>
      </c>
      <c r="B45" s="289" t="s">
        <v>323</v>
      </c>
      <c r="C45" s="290" t="s">
        <v>200</v>
      </c>
      <c r="D45" s="291" t="s">
        <v>325</v>
      </c>
      <c r="E45" s="290" t="s">
        <v>201</v>
      </c>
      <c r="F45" s="291" t="s">
        <v>325</v>
      </c>
      <c r="G45" s="292">
        <v>88.48</v>
      </c>
      <c r="H45" s="292">
        <v>43.95</v>
      </c>
      <c r="I45" s="297">
        <v>44.53</v>
      </c>
      <c r="J45" s="294">
        <v>41487</v>
      </c>
      <c r="K45" s="294">
        <v>41487</v>
      </c>
      <c r="L45" s="295">
        <v>31</v>
      </c>
      <c r="M45" s="296" t="s">
        <v>327</v>
      </c>
      <c r="N45" s="298" t="s">
        <v>325</v>
      </c>
      <c r="O45" s="295">
        <v>332</v>
      </c>
      <c r="P45" s="97"/>
      <c r="Q45" s="97"/>
      <c r="R45" s="292">
        <v>44.53</v>
      </c>
      <c r="S45" s="97"/>
      <c r="T45" s="97"/>
      <c r="U45" s="291" t="s">
        <v>325</v>
      </c>
      <c r="V45" s="291" t="s">
        <v>325</v>
      </c>
      <c r="W45" s="97"/>
      <c r="X45" s="292">
        <v>0</v>
      </c>
    </row>
    <row r="46" spans="1:24" ht="18" customHeight="1">
      <c r="A46" s="288">
        <v>2533809113</v>
      </c>
      <c r="B46" s="289" t="s">
        <v>323</v>
      </c>
      <c r="C46" s="290" t="s">
        <v>202</v>
      </c>
      <c r="D46" s="291" t="s">
        <v>325</v>
      </c>
      <c r="E46" s="290" t="s">
        <v>326</v>
      </c>
      <c r="F46" s="290" t="s">
        <v>277</v>
      </c>
      <c r="G46" s="292">
        <v>101.03</v>
      </c>
      <c r="H46" s="292">
        <v>0</v>
      </c>
      <c r="I46" s="297">
        <v>101.03</v>
      </c>
      <c r="J46" s="294">
        <v>41508</v>
      </c>
      <c r="K46" s="294">
        <v>41506</v>
      </c>
      <c r="L46" s="295">
        <v>33</v>
      </c>
      <c r="M46" s="296" t="s">
        <v>327</v>
      </c>
      <c r="N46" s="296" t="s">
        <v>116</v>
      </c>
      <c r="O46" s="295">
        <v>929</v>
      </c>
      <c r="P46" s="97"/>
      <c r="Q46" s="97"/>
      <c r="R46" s="292">
        <v>74.069999999999993</v>
      </c>
      <c r="S46" s="294">
        <v>41506</v>
      </c>
      <c r="T46" s="295">
        <v>33</v>
      </c>
      <c r="U46" s="290" t="s">
        <v>327</v>
      </c>
      <c r="V46" s="290" t="s">
        <v>204</v>
      </c>
      <c r="W46" s="295">
        <v>5</v>
      </c>
      <c r="X46" s="292">
        <v>26.96</v>
      </c>
    </row>
    <row r="47" spans="1:24" ht="18" customHeight="1">
      <c r="A47" s="288">
        <v>2693810107</v>
      </c>
      <c r="B47" s="289" t="s">
        <v>323</v>
      </c>
      <c r="C47" s="290" t="s">
        <v>205</v>
      </c>
      <c r="D47" s="291" t="s">
        <v>325</v>
      </c>
      <c r="E47" s="290" t="s">
        <v>332</v>
      </c>
      <c r="F47" s="291" t="s">
        <v>325</v>
      </c>
      <c r="G47" s="292">
        <v>420.77</v>
      </c>
      <c r="H47" s="292">
        <v>0</v>
      </c>
      <c r="I47" s="297">
        <v>420.77</v>
      </c>
      <c r="J47" s="294">
        <v>41508</v>
      </c>
      <c r="K47" s="294">
        <v>41505</v>
      </c>
      <c r="L47" s="295">
        <v>33</v>
      </c>
      <c r="M47" s="296" t="s">
        <v>327</v>
      </c>
      <c r="N47" s="296" t="s">
        <v>206</v>
      </c>
      <c r="O47" s="295">
        <v>1320</v>
      </c>
      <c r="P47" s="295">
        <v>0</v>
      </c>
      <c r="Q47" s="97"/>
      <c r="R47" s="292">
        <v>60.49</v>
      </c>
      <c r="S47" s="97"/>
      <c r="T47" s="97"/>
      <c r="U47" s="291" t="s">
        <v>325</v>
      </c>
      <c r="V47" s="291" t="s">
        <v>325</v>
      </c>
      <c r="W47" s="97"/>
      <c r="X47" s="292">
        <v>0</v>
      </c>
    </row>
    <row r="48" spans="1:24" ht="18" customHeight="1">
      <c r="A48" s="288">
        <v>2703112003</v>
      </c>
      <c r="B48" s="289" t="s">
        <v>323</v>
      </c>
      <c r="C48" s="290" t="s">
        <v>207</v>
      </c>
      <c r="D48" s="291" t="s">
        <v>325</v>
      </c>
      <c r="E48" s="290" t="s">
        <v>332</v>
      </c>
      <c r="F48" s="291" t="s">
        <v>325</v>
      </c>
      <c r="G48" s="292">
        <v>931.74</v>
      </c>
      <c r="H48" s="292">
        <v>0</v>
      </c>
      <c r="I48" s="297">
        <v>931.74</v>
      </c>
      <c r="J48" s="294">
        <v>41500</v>
      </c>
      <c r="K48" s="294">
        <v>41495</v>
      </c>
      <c r="L48" s="295">
        <v>30</v>
      </c>
      <c r="M48" s="296" t="s">
        <v>327</v>
      </c>
      <c r="N48" s="296" t="s">
        <v>208</v>
      </c>
      <c r="O48" s="295">
        <v>3815</v>
      </c>
      <c r="P48" s="295">
        <v>81.7</v>
      </c>
      <c r="Q48" s="295">
        <v>6.4854481164150685E-2</v>
      </c>
      <c r="R48" s="292">
        <v>931.74</v>
      </c>
      <c r="S48" s="97"/>
      <c r="T48" s="97"/>
      <c r="U48" s="291" t="s">
        <v>325</v>
      </c>
      <c r="V48" s="291" t="s">
        <v>325</v>
      </c>
      <c r="W48" s="97"/>
      <c r="X48" s="292">
        <v>0</v>
      </c>
    </row>
    <row r="49" spans="1:24" ht="18" customHeight="1">
      <c r="A49" s="288">
        <v>2773821106</v>
      </c>
      <c r="B49" s="289" t="s">
        <v>323</v>
      </c>
      <c r="C49" s="290" t="s">
        <v>209</v>
      </c>
      <c r="D49" s="291" t="s">
        <v>325</v>
      </c>
      <c r="E49" s="290" t="s">
        <v>255</v>
      </c>
      <c r="F49" s="291" t="s">
        <v>325</v>
      </c>
      <c r="G49" s="292">
        <v>20.62</v>
      </c>
      <c r="H49" s="292">
        <v>0</v>
      </c>
      <c r="I49" s="297">
        <v>20.62</v>
      </c>
      <c r="J49" s="294">
        <v>41508</v>
      </c>
      <c r="K49" s="294">
        <v>41507</v>
      </c>
      <c r="L49" s="295">
        <v>33</v>
      </c>
      <c r="M49" s="296" t="s">
        <v>327</v>
      </c>
      <c r="N49" s="296" t="s">
        <v>210</v>
      </c>
      <c r="O49" s="295">
        <v>0</v>
      </c>
      <c r="P49" s="97"/>
      <c r="Q49" s="97"/>
      <c r="R49" s="292">
        <v>20.62</v>
      </c>
      <c r="S49" s="97"/>
      <c r="T49" s="97"/>
      <c r="U49" s="291" t="s">
        <v>325</v>
      </c>
      <c r="V49" s="291" t="s">
        <v>325</v>
      </c>
      <c r="W49" s="97"/>
      <c r="X49" s="292">
        <v>0</v>
      </c>
    </row>
    <row r="50" spans="1:24" ht="18" customHeight="1">
      <c r="A50" s="288">
        <v>2856106004</v>
      </c>
      <c r="B50" s="289" t="s">
        <v>323</v>
      </c>
      <c r="C50" s="290" t="s">
        <v>211</v>
      </c>
      <c r="D50" s="291" t="s">
        <v>325</v>
      </c>
      <c r="E50" s="291" t="s">
        <v>325</v>
      </c>
      <c r="F50" s="290" t="s">
        <v>335</v>
      </c>
      <c r="G50" s="292">
        <v>24.2</v>
      </c>
      <c r="H50" s="292">
        <v>0</v>
      </c>
      <c r="I50" s="297">
        <v>24.2</v>
      </c>
      <c r="J50" s="294">
        <v>41500</v>
      </c>
      <c r="K50" s="97"/>
      <c r="L50" s="97"/>
      <c r="M50" s="298" t="s">
        <v>325</v>
      </c>
      <c r="N50" s="298" t="s">
        <v>325</v>
      </c>
      <c r="O50" s="97"/>
      <c r="P50" s="97"/>
      <c r="Q50" s="97"/>
      <c r="R50" s="292">
        <v>0</v>
      </c>
      <c r="S50" s="294">
        <v>41495</v>
      </c>
      <c r="T50" s="295">
        <v>29</v>
      </c>
      <c r="U50" s="290" t="s">
        <v>327</v>
      </c>
      <c r="V50" s="290" t="s">
        <v>212</v>
      </c>
      <c r="W50" s="295">
        <v>4</v>
      </c>
      <c r="X50" s="292">
        <v>24.2</v>
      </c>
    </row>
    <row r="51" spans="1:24" ht="18" customHeight="1">
      <c r="A51" s="288">
        <v>2860127100</v>
      </c>
      <c r="B51" s="289" t="s">
        <v>323</v>
      </c>
      <c r="C51" s="290" t="s">
        <v>213</v>
      </c>
      <c r="D51" s="291" t="s">
        <v>325</v>
      </c>
      <c r="E51" s="290" t="s">
        <v>201</v>
      </c>
      <c r="F51" s="291" t="s">
        <v>325</v>
      </c>
      <c r="G51" s="292">
        <v>109.38</v>
      </c>
      <c r="H51" s="292">
        <v>54.42</v>
      </c>
      <c r="I51" s="297">
        <v>54.96</v>
      </c>
      <c r="J51" s="294">
        <v>41487</v>
      </c>
      <c r="K51" s="294">
        <v>41487</v>
      </c>
      <c r="L51" s="295">
        <v>31</v>
      </c>
      <c r="M51" s="296" t="s">
        <v>327</v>
      </c>
      <c r="N51" s="298" t="s">
        <v>325</v>
      </c>
      <c r="O51" s="295">
        <v>312</v>
      </c>
      <c r="P51" s="97"/>
      <c r="Q51" s="97"/>
      <c r="R51" s="292">
        <v>54.96</v>
      </c>
      <c r="S51" s="97"/>
      <c r="T51" s="97"/>
      <c r="U51" s="291" t="s">
        <v>325</v>
      </c>
      <c r="V51" s="291" t="s">
        <v>325</v>
      </c>
      <c r="W51" s="97"/>
      <c r="X51" s="292">
        <v>0</v>
      </c>
    </row>
    <row r="52" spans="1:24" ht="18" customHeight="1">
      <c r="A52" s="288">
        <v>3040127109</v>
      </c>
      <c r="B52" s="289" t="s">
        <v>323</v>
      </c>
      <c r="C52" s="290" t="s">
        <v>214</v>
      </c>
      <c r="D52" s="291" t="s">
        <v>325</v>
      </c>
      <c r="E52" s="290" t="s">
        <v>201</v>
      </c>
      <c r="F52" s="291" t="s">
        <v>325</v>
      </c>
      <c r="G52" s="292">
        <v>112.74</v>
      </c>
      <c r="H52" s="292">
        <v>56.08</v>
      </c>
      <c r="I52" s="297">
        <v>56.66</v>
      </c>
      <c r="J52" s="294">
        <v>41487</v>
      </c>
      <c r="K52" s="294">
        <v>41487</v>
      </c>
      <c r="L52" s="295">
        <v>31</v>
      </c>
      <c r="M52" s="296" t="s">
        <v>327</v>
      </c>
      <c r="N52" s="298" t="s">
        <v>325</v>
      </c>
      <c r="O52" s="295">
        <v>326</v>
      </c>
      <c r="P52" s="97"/>
      <c r="Q52" s="97"/>
      <c r="R52" s="292">
        <v>56.66</v>
      </c>
      <c r="S52" s="97"/>
      <c r="T52" s="97"/>
      <c r="U52" s="291" t="s">
        <v>325</v>
      </c>
      <c r="V52" s="291" t="s">
        <v>325</v>
      </c>
      <c r="W52" s="97"/>
      <c r="X52" s="292">
        <v>0</v>
      </c>
    </row>
    <row r="53" spans="1:24" ht="18" customHeight="1">
      <c r="A53" s="288">
        <v>3128810107</v>
      </c>
      <c r="B53" s="289" t="s">
        <v>323</v>
      </c>
      <c r="C53" s="290" t="s">
        <v>215</v>
      </c>
      <c r="D53" s="291" t="s">
        <v>325</v>
      </c>
      <c r="E53" s="290" t="s">
        <v>326</v>
      </c>
      <c r="F53" s="291" t="s">
        <v>325</v>
      </c>
      <c r="G53" s="292">
        <v>20.91</v>
      </c>
      <c r="H53" s="292">
        <v>0</v>
      </c>
      <c r="I53" s="297">
        <v>20.91</v>
      </c>
      <c r="J53" s="294">
        <v>41500</v>
      </c>
      <c r="K53" s="294">
        <v>41495</v>
      </c>
      <c r="L53" s="295">
        <v>29</v>
      </c>
      <c r="M53" s="296" t="s">
        <v>327</v>
      </c>
      <c r="N53" s="296" t="s">
        <v>216</v>
      </c>
      <c r="O53" s="295">
        <v>5</v>
      </c>
      <c r="P53" s="97"/>
      <c r="Q53" s="97"/>
      <c r="R53" s="292">
        <v>20.91</v>
      </c>
      <c r="S53" s="97"/>
      <c r="T53" s="97"/>
      <c r="U53" s="291" t="s">
        <v>325</v>
      </c>
      <c r="V53" s="291" t="s">
        <v>325</v>
      </c>
      <c r="W53" s="97"/>
      <c r="X53" s="292">
        <v>0</v>
      </c>
    </row>
    <row r="54" spans="1:24" ht="18" customHeight="1">
      <c r="A54" s="288">
        <v>3195056004</v>
      </c>
      <c r="B54" s="289" t="s">
        <v>323</v>
      </c>
      <c r="C54" s="290" t="s">
        <v>217</v>
      </c>
      <c r="D54" s="291" t="s">
        <v>325</v>
      </c>
      <c r="E54" s="290" t="s">
        <v>326</v>
      </c>
      <c r="F54" s="291" t="s">
        <v>325</v>
      </c>
      <c r="G54" s="292">
        <v>21.41</v>
      </c>
      <c r="H54" s="292">
        <v>0</v>
      </c>
      <c r="I54" s="297">
        <v>21.41</v>
      </c>
      <c r="J54" s="294">
        <v>41508</v>
      </c>
      <c r="K54" s="294">
        <v>41506</v>
      </c>
      <c r="L54" s="295">
        <v>33</v>
      </c>
      <c r="M54" s="296" t="s">
        <v>327</v>
      </c>
      <c r="N54" s="296" t="s">
        <v>218</v>
      </c>
      <c r="O54" s="295">
        <v>14</v>
      </c>
      <c r="P54" s="97"/>
      <c r="Q54" s="97"/>
      <c r="R54" s="292">
        <v>21.41</v>
      </c>
      <c r="S54" s="97"/>
      <c r="T54" s="97"/>
      <c r="U54" s="291" t="s">
        <v>325</v>
      </c>
      <c r="V54" s="291" t="s">
        <v>325</v>
      </c>
      <c r="W54" s="97"/>
      <c r="X54" s="292">
        <v>0</v>
      </c>
    </row>
    <row r="55" spans="1:24" ht="18" customHeight="1">
      <c r="A55" s="288">
        <v>3273812135</v>
      </c>
      <c r="B55" s="289" t="s">
        <v>323</v>
      </c>
      <c r="C55" s="290" t="s">
        <v>219</v>
      </c>
      <c r="D55" s="291" t="s">
        <v>325</v>
      </c>
      <c r="E55" s="290" t="s">
        <v>326</v>
      </c>
      <c r="F55" s="290" t="s">
        <v>277</v>
      </c>
      <c r="G55" s="292">
        <v>90.81</v>
      </c>
      <c r="H55" s="292">
        <v>0</v>
      </c>
      <c r="I55" s="297">
        <v>90.81</v>
      </c>
      <c r="J55" s="294">
        <v>41508</v>
      </c>
      <c r="K55" s="294">
        <v>41505</v>
      </c>
      <c r="L55" s="295">
        <v>33</v>
      </c>
      <c r="M55" s="296" t="s">
        <v>327</v>
      </c>
      <c r="N55" s="296" t="s">
        <v>125</v>
      </c>
      <c r="O55" s="295">
        <v>784</v>
      </c>
      <c r="P55" s="97"/>
      <c r="Q55" s="97"/>
      <c r="R55" s="292">
        <v>65.73</v>
      </c>
      <c r="S55" s="294">
        <v>41507</v>
      </c>
      <c r="T55" s="295">
        <v>34</v>
      </c>
      <c r="U55" s="290" t="s">
        <v>327</v>
      </c>
      <c r="V55" s="290" t="s">
        <v>221</v>
      </c>
      <c r="W55" s="295">
        <v>2</v>
      </c>
      <c r="X55" s="292">
        <v>25.08</v>
      </c>
    </row>
    <row r="56" spans="1:24" ht="18" customHeight="1">
      <c r="A56" s="288">
        <v>3293820115</v>
      </c>
      <c r="B56" s="289" t="s">
        <v>323</v>
      </c>
      <c r="C56" s="290" t="s">
        <v>222</v>
      </c>
      <c r="D56" s="291" t="s">
        <v>325</v>
      </c>
      <c r="E56" s="291" t="s">
        <v>325</v>
      </c>
      <c r="F56" s="290" t="s">
        <v>335</v>
      </c>
      <c r="G56" s="292">
        <v>23.77</v>
      </c>
      <c r="H56" s="292">
        <v>0</v>
      </c>
      <c r="I56" s="297">
        <v>23.77</v>
      </c>
      <c r="J56" s="294">
        <v>41508</v>
      </c>
      <c r="K56" s="97"/>
      <c r="L56" s="97"/>
      <c r="M56" s="298" t="s">
        <v>325</v>
      </c>
      <c r="N56" s="298" t="s">
        <v>325</v>
      </c>
      <c r="O56" s="97"/>
      <c r="P56" s="97"/>
      <c r="Q56" s="97"/>
      <c r="R56" s="292">
        <v>0</v>
      </c>
      <c r="S56" s="294">
        <v>41506</v>
      </c>
      <c r="T56" s="295">
        <v>33</v>
      </c>
      <c r="U56" s="290" t="s">
        <v>327</v>
      </c>
      <c r="V56" s="290" t="s">
        <v>223</v>
      </c>
      <c r="W56" s="295">
        <v>0</v>
      </c>
      <c r="X56" s="292">
        <v>23.77</v>
      </c>
    </row>
    <row r="57" spans="1:24" ht="18" customHeight="1">
      <c r="A57" s="288">
        <v>3448808118</v>
      </c>
      <c r="B57" s="289" t="s">
        <v>323</v>
      </c>
      <c r="C57" s="290" t="s">
        <v>224</v>
      </c>
      <c r="D57" s="291" t="s">
        <v>325</v>
      </c>
      <c r="E57" s="290" t="s">
        <v>326</v>
      </c>
      <c r="F57" s="291" t="s">
        <v>325</v>
      </c>
      <c r="G57" s="292">
        <v>52.27</v>
      </c>
      <c r="H57" s="292">
        <v>0</v>
      </c>
      <c r="I57" s="297">
        <v>52.27</v>
      </c>
      <c r="J57" s="294">
        <v>41500</v>
      </c>
      <c r="K57" s="294">
        <v>41495</v>
      </c>
      <c r="L57" s="295">
        <v>29</v>
      </c>
      <c r="M57" s="296" t="s">
        <v>327</v>
      </c>
      <c r="N57" s="296" t="s">
        <v>126</v>
      </c>
      <c r="O57" s="295">
        <v>550</v>
      </c>
      <c r="P57" s="97"/>
      <c r="Q57" s="97"/>
      <c r="R57" s="292">
        <v>52.27</v>
      </c>
      <c r="S57" s="97"/>
      <c r="T57" s="97"/>
      <c r="U57" s="291" t="s">
        <v>325</v>
      </c>
      <c r="V57" s="291" t="s">
        <v>325</v>
      </c>
      <c r="W57" s="97"/>
      <c r="X57" s="292">
        <v>0</v>
      </c>
    </row>
    <row r="58" spans="1:24" ht="18" customHeight="1">
      <c r="A58" s="288">
        <v>3632395006</v>
      </c>
      <c r="B58" s="289" t="s">
        <v>323</v>
      </c>
      <c r="C58" s="290" t="s">
        <v>226</v>
      </c>
      <c r="D58" s="291" t="s">
        <v>325</v>
      </c>
      <c r="E58" s="290" t="s">
        <v>326</v>
      </c>
      <c r="F58" s="291" t="s">
        <v>325</v>
      </c>
      <c r="G58" s="292">
        <v>21.14</v>
      </c>
      <c r="H58" s="292">
        <v>0</v>
      </c>
      <c r="I58" s="297">
        <v>21.14</v>
      </c>
      <c r="J58" s="294">
        <v>41500</v>
      </c>
      <c r="K58" s="294">
        <v>41495</v>
      </c>
      <c r="L58" s="295">
        <v>29</v>
      </c>
      <c r="M58" s="296" t="s">
        <v>327</v>
      </c>
      <c r="N58" s="296" t="s">
        <v>227</v>
      </c>
      <c r="O58" s="295">
        <v>9</v>
      </c>
      <c r="P58" s="97"/>
      <c r="Q58" s="97"/>
      <c r="R58" s="292">
        <v>21.14</v>
      </c>
      <c r="S58" s="97"/>
      <c r="T58" s="97"/>
      <c r="U58" s="291" t="s">
        <v>325</v>
      </c>
      <c r="V58" s="291" t="s">
        <v>325</v>
      </c>
      <c r="W58" s="97"/>
      <c r="X58" s="292">
        <v>0</v>
      </c>
    </row>
    <row r="59" spans="1:24" ht="18" customHeight="1">
      <c r="A59" s="288">
        <v>3753663109</v>
      </c>
      <c r="B59" s="289" t="s">
        <v>323</v>
      </c>
      <c r="C59" s="290" t="s">
        <v>228</v>
      </c>
      <c r="D59" s="291" t="s">
        <v>325</v>
      </c>
      <c r="E59" s="290" t="s">
        <v>330</v>
      </c>
      <c r="F59" s="291" t="s">
        <v>325</v>
      </c>
      <c r="G59" s="292">
        <v>200.63</v>
      </c>
      <c r="H59" s="292">
        <v>0</v>
      </c>
      <c r="I59" s="297">
        <v>200.63</v>
      </c>
      <c r="J59" s="294">
        <v>41508</v>
      </c>
      <c r="K59" s="294">
        <v>41508</v>
      </c>
      <c r="L59" s="295">
        <v>31</v>
      </c>
      <c r="M59" s="296" t="s">
        <v>327</v>
      </c>
      <c r="N59" s="298" t="s">
        <v>325</v>
      </c>
      <c r="O59" s="295">
        <v>150</v>
      </c>
      <c r="P59" s="97"/>
      <c r="Q59" s="97"/>
      <c r="R59" s="292">
        <v>200.63</v>
      </c>
      <c r="S59" s="97"/>
      <c r="T59" s="97"/>
      <c r="U59" s="291" t="s">
        <v>325</v>
      </c>
      <c r="V59" s="291" t="s">
        <v>325</v>
      </c>
      <c r="W59" s="97"/>
      <c r="X59" s="292">
        <v>0</v>
      </c>
    </row>
    <row r="60" spans="1:24" ht="18" customHeight="1">
      <c r="A60" s="288">
        <v>3798043001</v>
      </c>
      <c r="B60" s="289" t="s">
        <v>323</v>
      </c>
      <c r="C60" s="290" t="s">
        <v>229</v>
      </c>
      <c r="D60" s="291" t="s">
        <v>325</v>
      </c>
      <c r="E60" s="290" t="s">
        <v>255</v>
      </c>
      <c r="F60" s="291" t="s">
        <v>325</v>
      </c>
      <c r="G60" s="292">
        <v>21.76</v>
      </c>
      <c r="H60" s="292">
        <v>0</v>
      </c>
      <c r="I60" s="297">
        <v>21.76</v>
      </c>
      <c r="J60" s="294">
        <v>41479</v>
      </c>
      <c r="K60" s="294">
        <v>41478</v>
      </c>
      <c r="L60" s="295">
        <v>34</v>
      </c>
      <c r="M60" s="296" t="s">
        <v>327</v>
      </c>
      <c r="N60" s="296" t="s">
        <v>230</v>
      </c>
      <c r="O60" s="295">
        <v>9</v>
      </c>
      <c r="P60" s="97"/>
      <c r="Q60" s="97"/>
      <c r="R60" s="292">
        <v>21.76</v>
      </c>
      <c r="S60" s="97"/>
      <c r="T60" s="97"/>
      <c r="U60" s="291" t="s">
        <v>325</v>
      </c>
      <c r="V60" s="291" t="s">
        <v>325</v>
      </c>
      <c r="W60" s="97"/>
      <c r="X60" s="292">
        <v>0</v>
      </c>
    </row>
    <row r="61" spans="1:24" ht="18" customHeight="1">
      <c r="A61" s="288">
        <v>3908811104</v>
      </c>
      <c r="B61" s="289" t="s">
        <v>323</v>
      </c>
      <c r="C61" s="290" t="s">
        <v>231</v>
      </c>
      <c r="D61" s="291" t="s">
        <v>325</v>
      </c>
      <c r="E61" s="290" t="s">
        <v>326</v>
      </c>
      <c r="F61" s="291" t="s">
        <v>325</v>
      </c>
      <c r="G61" s="292">
        <v>107.16</v>
      </c>
      <c r="H61" s="292">
        <v>0</v>
      </c>
      <c r="I61" s="297">
        <v>107.16</v>
      </c>
      <c r="J61" s="294">
        <v>41500</v>
      </c>
      <c r="K61" s="294">
        <v>41499</v>
      </c>
      <c r="L61" s="295">
        <v>31</v>
      </c>
      <c r="M61" s="296" t="s">
        <v>327</v>
      </c>
      <c r="N61" s="296" t="s">
        <v>232</v>
      </c>
      <c r="O61" s="295">
        <v>1504</v>
      </c>
      <c r="P61" s="97"/>
      <c r="Q61" s="97"/>
      <c r="R61" s="292">
        <v>107.16</v>
      </c>
      <c r="S61" s="97"/>
      <c r="T61" s="97"/>
      <c r="U61" s="291" t="s">
        <v>325</v>
      </c>
      <c r="V61" s="291" t="s">
        <v>325</v>
      </c>
      <c r="W61" s="97"/>
      <c r="X61" s="292">
        <v>0</v>
      </c>
    </row>
    <row r="62" spans="1:24" ht="18" customHeight="1">
      <c r="A62" s="288">
        <v>4153807100</v>
      </c>
      <c r="B62" s="289" t="s">
        <v>323</v>
      </c>
      <c r="C62" s="290" t="s">
        <v>233</v>
      </c>
      <c r="D62" s="291" t="s">
        <v>325</v>
      </c>
      <c r="E62" s="290" t="s">
        <v>326</v>
      </c>
      <c r="F62" s="290" t="s">
        <v>277</v>
      </c>
      <c r="G62" s="292">
        <v>53.71</v>
      </c>
      <c r="H62" s="292">
        <v>0</v>
      </c>
      <c r="I62" s="297">
        <v>53.71</v>
      </c>
      <c r="J62" s="294">
        <v>41508</v>
      </c>
      <c r="K62" s="294">
        <v>41506</v>
      </c>
      <c r="L62" s="295">
        <v>33</v>
      </c>
      <c r="M62" s="296" t="s">
        <v>327</v>
      </c>
      <c r="N62" s="296" t="s">
        <v>234</v>
      </c>
      <c r="O62" s="295">
        <v>155</v>
      </c>
      <c r="P62" s="97"/>
      <c r="Q62" s="97"/>
      <c r="R62" s="292">
        <v>29.54</v>
      </c>
      <c r="S62" s="294">
        <v>41506</v>
      </c>
      <c r="T62" s="295">
        <v>33</v>
      </c>
      <c r="U62" s="290" t="s">
        <v>327</v>
      </c>
      <c r="V62" s="290" t="s">
        <v>235</v>
      </c>
      <c r="W62" s="295">
        <v>0</v>
      </c>
      <c r="X62" s="292">
        <v>24.17</v>
      </c>
    </row>
    <row r="63" spans="1:24" ht="18" customHeight="1">
      <c r="A63" s="288">
        <v>4153820112</v>
      </c>
      <c r="B63" s="289" t="s">
        <v>323</v>
      </c>
      <c r="C63" s="290" t="s">
        <v>147</v>
      </c>
      <c r="D63" s="291" t="s">
        <v>325</v>
      </c>
      <c r="E63" s="290" t="s">
        <v>332</v>
      </c>
      <c r="F63" s="291" t="s">
        <v>325</v>
      </c>
      <c r="G63" s="292">
        <v>344.81</v>
      </c>
      <c r="H63" s="292">
        <v>0</v>
      </c>
      <c r="I63" s="297">
        <v>344.81</v>
      </c>
      <c r="J63" s="294">
        <v>41487</v>
      </c>
      <c r="K63" s="294">
        <v>41472</v>
      </c>
      <c r="L63" s="295">
        <v>29</v>
      </c>
      <c r="M63" s="296" t="s">
        <v>327</v>
      </c>
      <c r="N63" s="296" t="s">
        <v>131</v>
      </c>
      <c r="O63" s="295">
        <v>12887</v>
      </c>
      <c r="P63" s="295">
        <v>22.3</v>
      </c>
      <c r="Q63" s="295">
        <v>0.8303051389103655</v>
      </c>
      <c r="R63" s="292">
        <v>344.81</v>
      </c>
      <c r="S63" s="97"/>
      <c r="T63" s="97"/>
      <c r="U63" s="291" t="s">
        <v>325</v>
      </c>
      <c r="V63" s="291" t="s">
        <v>325</v>
      </c>
      <c r="W63" s="97"/>
      <c r="X63" s="292">
        <v>0</v>
      </c>
    </row>
    <row r="64" spans="1:24" ht="18" customHeight="1">
      <c r="A64" s="288">
        <v>4308810115</v>
      </c>
      <c r="B64" s="289" t="s">
        <v>323</v>
      </c>
      <c r="C64" s="290" t="s">
        <v>149</v>
      </c>
      <c r="D64" s="291" t="s">
        <v>325</v>
      </c>
      <c r="E64" s="290" t="s">
        <v>326</v>
      </c>
      <c r="F64" s="291" t="s">
        <v>325</v>
      </c>
      <c r="G64" s="292">
        <v>66.260000000000005</v>
      </c>
      <c r="H64" s="292">
        <v>0</v>
      </c>
      <c r="I64" s="297">
        <v>66.260000000000005</v>
      </c>
      <c r="J64" s="294">
        <v>41500</v>
      </c>
      <c r="K64" s="294">
        <v>41495</v>
      </c>
      <c r="L64" s="295">
        <v>30</v>
      </c>
      <c r="M64" s="296" t="s">
        <v>327</v>
      </c>
      <c r="N64" s="296" t="s">
        <v>113</v>
      </c>
      <c r="O64" s="295">
        <v>793</v>
      </c>
      <c r="P64" s="97"/>
      <c r="Q64" s="97"/>
      <c r="R64" s="292">
        <v>66.260000000000005</v>
      </c>
      <c r="S64" s="97"/>
      <c r="T64" s="97"/>
      <c r="U64" s="291" t="s">
        <v>325</v>
      </c>
      <c r="V64" s="291" t="s">
        <v>325</v>
      </c>
      <c r="W64" s="97"/>
      <c r="X64" s="292">
        <v>0</v>
      </c>
    </row>
    <row r="65" spans="1:24" ht="18" customHeight="1">
      <c r="A65" s="288">
        <v>4399122004</v>
      </c>
      <c r="B65" s="289" t="s">
        <v>323</v>
      </c>
      <c r="C65" s="290" t="s">
        <v>151</v>
      </c>
      <c r="D65" s="291" t="s">
        <v>325</v>
      </c>
      <c r="E65" s="291" t="s">
        <v>325</v>
      </c>
      <c r="F65" s="290" t="s">
        <v>335</v>
      </c>
      <c r="G65" s="292">
        <v>23.77</v>
      </c>
      <c r="H65" s="292">
        <v>0</v>
      </c>
      <c r="I65" s="297">
        <v>23.77</v>
      </c>
      <c r="J65" s="294">
        <v>41508</v>
      </c>
      <c r="K65" s="97"/>
      <c r="L65" s="97"/>
      <c r="M65" s="298" t="s">
        <v>325</v>
      </c>
      <c r="N65" s="298" t="s">
        <v>325</v>
      </c>
      <c r="O65" s="97"/>
      <c r="P65" s="97"/>
      <c r="Q65" s="97"/>
      <c r="R65" s="292">
        <v>0</v>
      </c>
      <c r="S65" s="294">
        <v>41506</v>
      </c>
      <c r="T65" s="295">
        <v>33</v>
      </c>
      <c r="U65" s="290" t="s">
        <v>327</v>
      </c>
      <c r="V65" s="290" t="s">
        <v>152</v>
      </c>
      <c r="W65" s="295">
        <v>0</v>
      </c>
      <c r="X65" s="292">
        <v>23.77</v>
      </c>
    </row>
    <row r="66" spans="1:24" ht="18" customHeight="1">
      <c r="A66" s="288">
        <v>4513814101</v>
      </c>
      <c r="B66" s="289" t="s">
        <v>323</v>
      </c>
      <c r="C66" s="290" t="s">
        <v>153</v>
      </c>
      <c r="D66" s="291" t="s">
        <v>325</v>
      </c>
      <c r="E66" s="290" t="s">
        <v>332</v>
      </c>
      <c r="F66" s="290" t="s">
        <v>277</v>
      </c>
      <c r="G66" s="292">
        <v>172.59</v>
      </c>
      <c r="H66" s="292">
        <v>0</v>
      </c>
      <c r="I66" s="297">
        <v>172.59</v>
      </c>
      <c r="J66" s="294">
        <v>41508</v>
      </c>
      <c r="K66" s="294">
        <v>41505</v>
      </c>
      <c r="L66" s="295">
        <v>33</v>
      </c>
      <c r="M66" s="296" t="s">
        <v>327</v>
      </c>
      <c r="N66" s="296" t="s">
        <v>117</v>
      </c>
      <c r="O66" s="295">
        <v>2221</v>
      </c>
      <c r="P66" s="295">
        <v>7.3</v>
      </c>
      <c r="Q66" s="295">
        <v>0.38414971634149719</v>
      </c>
      <c r="R66" s="292">
        <v>142.63999999999999</v>
      </c>
      <c r="S66" s="294">
        <v>41507</v>
      </c>
      <c r="T66" s="295">
        <v>34</v>
      </c>
      <c r="U66" s="290" t="s">
        <v>327</v>
      </c>
      <c r="V66" s="290" t="s">
        <v>155</v>
      </c>
      <c r="W66" s="295">
        <v>9</v>
      </c>
      <c r="X66" s="292">
        <v>29.95</v>
      </c>
    </row>
    <row r="67" spans="1:24" ht="18" customHeight="1">
      <c r="A67" s="288">
        <v>4533881110</v>
      </c>
      <c r="B67" s="289" t="s">
        <v>323</v>
      </c>
      <c r="C67" s="290" t="s">
        <v>156</v>
      </c>
      <c r="D67" s="290" t="s">
        <v>157</v>
      </c>
      <c r="E67" s="290" t="s">
        <v>158</v>
      </c>
      <c r="F67" s="291" t="s">
        <v>325</v>
      </c>
      <c r="G67" s="292">
        <v>27.87</v>
      </c>
      <c r="H67" s="292">
        <v>0</v>
      </c>
      <c r="I67" s="297">
        <v>27.87</v>
      </c>
      <c r="J67" s="294">
        <v>41508</v>
      </c>
      <c r="K67" s="294">
        <v>41508</v>
      </c>
      <c r="L67" s="295">
        <v>31</v>
      </c>
      <c r="M67" s="296" t="s">
        <v>327</v>
      </c>
      <c r="N67" s="298" t="s">
        <v>325</v>
      </c>
      <c r="O67" s="295">
        <v>169</v>
      </c>
      <c r="P67" s="97"/>
      <c r="Q67" s="97"/>
      <c r="R67" s="292">
        <v>27.87</v>
      </c>
      <c r="S67" s="97"/>
      <c r="T67" s="97"/>
      <c r="U67" s="291" t="s">
        <v>325</v>
      </c>
      <c r="V67" s="291" t="s">
        <v>325</v>
      </c>
      <c r="W67" s="97"/>
      <c r="X67" s="292">
        <v>0</v>
      </c>
    </row>
    <row r="68" spans="1:24" ht="18" customHeight="1">
      <c r="A68" s="288">
        <v>4568811105</v>
      </c>
      <c r="B68" s="289" t="s">
        <v>323</v>
      </c>
      <c r="C68" s="290" t="s">
        <v>159</v>
      </c>
      <c r="D68" s="291" t="s">
        <v>325</v>
      </c>
      <c r="E68" s="290" t="s">
        <v>326</v>
      </c>
      <c r="F68" s="291" t="s">
        <v>325</v>
      </c>
      <c r="G68" s="292">
        <v>83.95</v>
      </c>
      <c r="H68" s="292">
        <v>0</v>
      </c>
      <c r="I68" s="297">
        <v>83.95</v>
      </c>
      <c r="J68" s="294">
        <v>41500</v>
      </c>
      <c r="K68" s="294">
        <v>41498</v>
      </c>
      <c r="L68" s="295">
        <v>32</v>
      </c>
      <c r="M68" s="296" t="s">
        <v>327</v>
      </c>
      <c r="N68" s="296" t="s">
        <v>160</v>
      </c>
      <c r="O68" s="295">
        <v>1101</v>
      </c>
      <c r="P68" s="97"/>
      <c r="Q68" s="97"/>
      <c r="R68" s="292">
        <v>83.95</v>
      </c>
      <c r="S68" s="97"/>
      <c r="T68" s="97"/>
      <c r="U68" s="291" t="s">
        <v>325</v>
      </c>
      <c r="V68" s="291" t="s">
        <v>325</v>
      </c>
      <c r="W68" s="97"/>
      <c r="X68" s="292">
        <v>0</v>
      </c>
    </row>
    <row r="69" spans="1:24" ht="18" customHeight="1">
      <c r="A69" s="288">
        <v>4588811101</v>
      </c>
      <c r="B69" s="289" t="s">
        <v>323</v>
      </c>
      <c r="C69" s="290" t="s">
        <v>159</v>
      </c>
      <c r="D69" s="291" t="s">
        <v>325</v>
      </c>
      <c r="E69" s="290" t="s">
        <v>326</v>
      </c>
      <c r="F69" s="291" t="s">
        <v>325</v>
      </c>
      <c r="G69" s="292">
        <v>68.959999999999994</v>
      </c>
      <c r="H69" s="292">
        <v>0</v>
      </c>
      <c r="I69" s="297">
        <v>68.959999999999994</v>
      </c>
      <c r="J69" s="294">
        <v>41507</v>
      </c>
      <c r="K69" s="294">
        <v>41495</v>
      </c>
      <c r="L69" s="295">
        <v>30</v>
      </c>
      <c r="M69" s="296" t="s">
        <v>240</v>
      </c>
      <c r="N69" s="296" t="s">
        <v>127</v>
      </c>
      <c r="O69" s="295">
        <v>840</v>
      </c>
      <c r="P69" s="97"/>
      <c r="Q69" s="97"/>
      <c r="R69" s="292">
        <v>68.959999999999994</v>
      </c>
      <c r="S69" s="97"/>
      <c r="T69" s="97"/>
      <c r="U69" s="291" t="s">
        <v>325</v>
      </c>
      <c r="V69" s="291" t="s">
        <v>325</v>
      </c>
      <c r="W69" s="97"/>
      <c r="X69" s="292">
        <v>0</v>
      </c>
    </row>
    <row r="70" spans="1:24" ht="18" customHeight="1">
      <c r="A70" s="288">
        <v>4794009102</v>
      </c>
      <c r="B70" s="289" t="s">
        <v>323</v>
      </c>
      <c r="C70" s="290" t="s">
        <v>162</v>
      </c>
      <c r="D70" s="291" t="s">
        <v>325</v>
      </c>
      <c r="E70" s="290" t="s">
        <v>255</v>
      </c>
      <c r="F70" s="290" t="s">
        <v>163</v>
      </c>
      <c r="G70" s="292">
        <v>125.62</v>
      </c>
      <c r="H70" s="292">
        <v>0</v>
      </c>
      <c r="I70" s="297">
        <v>125.62</v>
      </c>
      <c r="J70" s="294">
        <v>41479</v>
      </c>
      <c r="K70" s="294">
        <v>41474</v>
      </c>
      <c r="L70" s="295">
        <v>31</v>
      </c>
      <c r="M70" s="296" t="s">
        <v>327</v>
      </c>
      <c r="N70" s="296" t="s">
        <v>164</v>
      </c>
      <c r="O70" s="295">
        <v>613</v>
      </c>
      <c r="P70" s="97"/>
      <c r="Q70" s="97"/>
      <c r="R70" s="292">
        <v>98.17</v>
      </c>
      <c r="S70" s="294">
        <v>41478</v>
      </c>
      <c r="T70" s="295">
        <v>34</v>
      </c>
      <c r="U70" s="290" t="s">
        <v>327</v>
      </c>
      <c r="V70" s="290" t="s">
        <v>165</v>
      </c>
      <c r="W70" s="295">
        <v>6</v>
      </c>
      <c r="X70" s="292">
        <v>27.45</v>
      </c>
    </row>
    <row r="71" spans="1:24" ht="18" customHeight="1">
      <c r="A71" s="288">
        <v>5048811100</v>
      </c>
      <c r="B71" s="289" t="s">
        <v>323</v>
      </c>
      <c r="C71" s="290" t="s">
        <v>166</v>
      </c>
      <c r="D71" s="291" t="s">
        <v>325</v>
      </c>
      <c r="E71" s="290" t="s">
        <v>326</v>
      </c>
      <c r="F71" s="291" t="s">
        <v>325</v>
      </c>
      <c r="G71" s="292">
        <v>33.21</v>
      </c>
      <c r="H71" s="292">
        <v>0</v>
      </c>
      <c r="I71" s="297">
        <v>33.21</v>
      </c>
      <c r="J71" s="294">
        <v>41500</v>
      </c>
      <c r="K71" s="294">
        <v>41495</v>
      </c>
      <c r="L71" s="295">
        <v>29</v>
      </c>
      <c r="M71" s="296" t="s">
        <v>327</v>
      </c>
      <c r="N71" s="296" t="s">
        <v>167</v>
      </c>
      <c r="O71" s="295">
        <v>219</v>
      </c>
      <c r="P71" s="97"/>
      <c r="Q71" s="97"/>
      <c r="R71" s="292">
        <v>33.21</v>
      </c>
      <c r="S71" s="97"/>
      <c r="T71" s="97"/>
      <c r="U71" s="291" t="s">
        <v>325</v>
      </c>
      <c r="V71" s="291" t="s">
        <v>325</v>
      </c>
      <c r="W71" s="97"/>
      <c r="X71" s="292">
        <v>0</v>
      </c>
    </row>
    <row r="72" spans="1:24" ht="18" customHeight="1">
      <c r="A72" s="288">
        <v>5293880104</v>
      </c>
      <c r="B72" s="289" t="s">
        <v>323</v>
      </c>
      <c r="C72" s="290" t="s">
        <v>168</v>
      </c>
      <c r="D72" s="291" t="s">
        <v>325</v>
      </c>
      <c r="E72" s="290" t="s">
        <v>330</v>
      </c>
      <c r="F72" s="291" t="s">
        <v>325</v>
      </c>
      <c r="G72" s="292">
        <v>9506.36</v>
      </c>
      <c r="H72" s="292">
        <v>0</v>
      </c>
      <c r="I72" s="297">
        <v>9506.36</v>
      </c>
      <c r="J72" s="294">
        <v>41508</v>
      </c>
      <c r="K72" s="294">
        <v>41508</v>
      </c>
      <c r="L72" s="295">
        <v>31</v>
      </c>
      <c r="M72" s="296" t="s">
        <v>327</v>
      </c>
      <c r="N72" s="298" t="s">
        <v>325</v>
      </c>
      <c r="O72" s="295">
        <v>27376</v>
      </c>
      <c r="P72" s="97"/>
      <c r="Q72" s="97"/>
      <c r="R72" s="292">
        <v>9508.4599999999991</v>
      </c>
      <c r="S72" s="97"/>
      <c r="T72" s="97"/>
      <c r="U72" s="291" t="s">
        <v>325</v>
      </c>
      <c r="V72" s="291" t="s">
        <v>325</v>
      </c>
      <c r="W72" s="97"/>
      <c r="X72" s="292">
        <v>0</v>
      </c>
    </row>
    <row r="73" spans="1:24" ht="18" customHeight="1">
      <c r="A73" s="288">
        <v>5333812119</v>
      </c>
      <c r="B73" s="289" t="s">
        <v>323</v>
      </c>
      <c r="C73" s="290" t="s">
        <v>169</v>
      </c>
      <c r="D73" s="291" t="s">
        <v>325</v>
      </c>
      <c r="E73" s="290" t="s">
        <v>326</v>
      </c>
      <c r="F73" s="291" t="s">
        <v>325</v>
      </c>
      <c r="G73" s="292">
        <v>40.06</v>
      </c>
      <c r="H73" s="292">
        <v>0</v>
      </c>
      <c r="I73" s="297">
        <v>40.06</v>
      </c>
      <c r="J73" s="294">
        <v>41508</v>
      </c>
      <c r="K73" s="294">
        <v>41506</v>
      </c>
      <c r="L73" s="295">
        <v>33</v>
      </c>
      <c r="M73" s="296" t="s">
        <v>327</v>
      </c>
      <c r="N73" s="296" t="s">
        <v>170</v>
      </c>
      <c r="O73" s="295">
        <v>338</v>
      </c>
      <c r="P73" s="97"/>
      <c r="Q73" s="97"/>
      <c r="R73" s="292">
        <v>40.06</v>
      </c>
      <c r="S73" s="97"/>
      <c r="T73" s="97"/>
      <c r="U73" s="291" t="s">
        <v>325</v>
      </c>
      <c r="V73" s="291" t="s">
        <v>325</v>
      </c>
      <c r="W73" s="97"/>
      <c r="X73" s="292">
        <v>0</v>
      </c>
    </row>
    <row r="74" spans="1:24" ht="18" customHeight="1">
      <c r="A74" s="288">
        <v>5513812108</v>
      </c>
      <c r="B74" s="289" t="s">
        <v>323</v>
      </c>
      <c r="C74" s="290" t="s">
        <v>337</v>
      </c>
      <c r="D74" s="291" t="s">
        <v>325</v>
      </c>
      <c r="E74" s="290" t="s">
        <v>332</v>
      </c>
      <c r="F74" s="291" t="s">
        <v>325</v>
      </c>
      <c r="G74" s="292">
        <v>168.5</v>
      </c>
      <c r="H74" s="292">
        <v>0</v>
      </c>
      <c r="I74" s="297">
        <v>168.5</v>
      </c>
      <c r="J74" s="294">
        <v>41508</v>
      </c>
      <c r="K74" s="294">
        <v>41505</v>
      </c>
      <c r="L74" s="295">
        <v>33</v>
      </c>
      <c r="M74" s="296" t="s">
        <v>327</v>
      </c>
      <c r="N74" s="296" t="s">
        <v>114</v>
      </c>
      <c r="O74" s="295">
        <v>1346</v>
      </c>
      <c r="P74" s="295">
        <v>10.3</v>
      </c>
      <c r="Q74" s="295">
        <v>0.16499950965970384</v>
      </c>
      <c r="R74" s="292">
        <v>168.5</v>
      </c>
      <c r="S74" s="97"/>
      <c r="T74" s="97"/>
      <c r="U74" s="291" t="s">
        <v>325</v>
      </c>
      <c r="V74" s="291" t="s">
        <v>325</v>
      </c>
      <c r="W74" s="97"/>
      <c r="X74" s="292">
        <v>0</v>
      </c>
    </row>
    <row r="75" spans="1:24" ht="18" customHeight="1">
      <c r="A75" s="288">
        <v>5613808124</v>
      </c>
      <c r="B75" s="289" t="s">
        <v>323</v>
      </c>
      <c r="C75" s="290" t="s">
        <v>172</v>
      </c>
      <c r="D75" s="291" t="s">
        <v>325</v>
      </c>
      <c r="E75" s="290" t="s">
        <v>255</v>
      </c>
      <c r="F75" s="291" t="s">
        <v>325</v>
      </c>
      <c r="G75" s="292">
        <v>150.88</v>
      </c>
      <c r="H75" s="292">
        <v>0</v>
      </c>
      <c r="I75" s="297">
        <v>150.88</v>
      </c>
      <c r="J75" s="294">
        <v>41508</v>
      </c>
      <c r="K75" s="294">
        <v>41506</v>
      </c>
      <c r="L75" s="295">
        <v>32</v>
      </c>
      <c r="M75" s="296" t="s">
        <v>327</v>
      </c>
      <c r="N75" s="296" t="s">
        <v>128</v>
      </c>
      <c r="O75" s="295">
        <v>1022</v>
      </c>
      <c r="P75" s="97"/>
      <c r="Q75" s="97"/>
      <c r="R75" s="292">
        <v>150.88</v>
      </c>
      <c r="S75" s="97"/>
      <c r="T75" s="97"/>
      <c r="U75" s="291" t="s">
        <v>325</v>
      </c>
      <c r="V75" s="291" t="s">
        <v>325</v>
      </c>
      <c r="W75" s="97"/>
      <c r="X75" s="292">
        <v>0</v>
      </c>
    </row>
    <row r="76" spans="1:24" ht="18" customHeight="1">
      <c r="A76" s="288">
        <v>5668811108</v>
      </c>
      <c r="B76" s="289" t="s">
        <v>323</v>
      </c>
      <c r="C76" s="290" t="s">
        <v>159</v>
      </c>
      <c r="D76" s="291" t="s">
        <v>325</v>
      </c>
      <c r="E76" s="290" t="s">
        <v>255</v>
      </c>
      <c r="F76" s="291" t="s">
        <v>325</v>
      </c>
      <c r="G76" s="292">
        <v>38.46</v>
      </c>
      <c r="H76" s="292">
        <v>0</v>
      </c>
      <c r="I76" s="297">
        <v>38.46</v>
      </c>
      <c r="J76" s="294">
        <v>41500</v>
      </c>
      <c r="K76" s="294">
        <v>41498</v>
      </c>
      <c r="L76" s="295">
        <v>32</v>
      </c>
      <c r="M76" s="296" t="s">
        <v>327</v>
      </c>
      <c r="N76" s="296" t="s">
        <v>174</v>
      </c>
      <c r="O76" s="295">
        <v>140</v>
      </c>
      <c r="P76" s="97"/>
      <c r="Q76" s="97"/>
      <c r="R76" s="292">
        <v>38.46</v>
      </c>
      <c r="S76" s="97"/>
      <c r="T76" s="97"/>
      <c r="U76" s="291" t="s">
        <v>325</v>
      </c>
      <c r="V76" s="291" t="s">
        <v>325</v>
      </c>
      <c r="W76" s="97"/>
      <c r="X76" s="292">
        <v>0</v>
      </c>
    </row>
    <row r="77" spans="1:24" ht="18" customHeight="1">
      <c r="A77" s="288">
        <v>5748811104</v>
      </c>
      <c r="B77" s="289" t="s">
        <v>323</v>
      </c>
      <c r="C77" s="290" t="s">
        <v>175</v>
      </c>
      <c r="D77" s="291" t="s">
        <v>325</v>
      </c>
      <c r="E77" s="290" t="s">
        <v>326</v>
      </c>
      <c r="F77" s="291" t="s">
        <v>325</v>
      </c>
      <c r="G77" s="292">
        <v>21.07</v>
      </c>
      <c r="H77" s="292">
        <v>0</v>
      </c>
      <c r="I77" s="297">
        <v>21.07</v>
      </c>
      <c r="J77" s="294">
        <v>41500</v>
      </c>
      <c r="K77" s="294">
        <v>41498</v>
      </c>
      <c r="L77" s="295">
        <v>32</v>
      </c>
      <c r="M77" s="296" t="s">
        <v>327</v>
      </c>
      <c r="N77" s="296" t="s">
        <v>176</v>
      </c>
      <c r="O77" s="295">
        <v>8</v>
      </c>
      <c r="P77" s="97"/>
      <c r="Q77" s="97"/>
      <c r="R77" s="292">
        <v>21.07</v>
      </c>
      <c r="S77" s="97"/>
      <c r="T77" s="97"/>
      <c r="U77" s="291" t="s">
        <v>325</v>
      </c>
      <c r="V77" s="291" t="s">
        <v>325</v>
      </c>
      <c r="W77" s="97"/>
      <c r="X77" s="292">
        <v>0</v>
      </c>
    </row>
    <row r="78" spans="1:24" ht="18" customHeight="1">
      <c r="A78" s="288">
        <v>5828811100</v>
      </c>
      <c r="B78" s="289" t="s">
        <v>323</v>
      </c>
      <c r="C78" s="290" t="s">
        <v>175</v>
      </c>
      <c r="D78" s="291" t="s">
        <v>325</v>
      </c>
      <c r="E78" s="290" t="s">
        <v>326</v>
      </c>
      <c r="F78" s="291" t="s">
        <v>325</v>
      </c>
      <c r="G78" s="292">
        <v>20.85</v>
      </c>
      <c r="H78" s="292">
        <v>0</v>
      </c>
      <c r="I78" s="297">
        <v>20.85</v>
      </c>
      <c r="J78" s="294">
        <v>41500</v>
      </c>
      <c r="K78" s="294">
        <v>41498</v>
      </c>
      <c r="L78" s="295">
        <v>32</v>
      </c>
      <c r="M78" s="296" t="s">
        <v>327</v>
      </c>
      <c r="N78" s="296" t="s">
        <v>177</v>
      </c>
      <c r="O78" s="295">
        <v>4</v>
      </c>
      <c r="P78" s="97"/>
      <c r="Q78" s="97"/>
      <c r="R78" s="292">
        <v>20.85</v>
      </c>
      <c r="S78" s="97"/>
      <c r="T78" s="97"/>
      <c r="U78" s="291" t="s">
        <v>325</v>
      </c>
      <c r="V78" s="291" t="s">
        <v>325</v>
      </c>
      <c r="W78" s="97"/>
      <c r="X78" s="292">
        <v>0</v>
      </c>
    </row>
    <row r="79" spans="1:24" ht="18" customHeight="1">
      <c r="A79" s="288">
        <v>5913814119</v>
      </c>
      <c r="B79" s="289" t="s">
        <v>323</v>
      </c>
      <c r="C79" s="290" t="s">
        <v>178</v>
      </c>
      <c r="D79" s="291" t="s">
        <v>325</v>
      </c>
      <c r="E79" s="290" t="s">
        <v>332</v>
      </c>
      <c r="F79" s="291" t="s">
        <v>325</v>
      </c>
      <c r="G79" s="292">
        <v>176.05</v>
      </c>
      <c r="H79" s="292">
        <v>0</v>
      </c>
      <c r="I79" s="297">
        <v>176.05</v>
      </c>
      <c r="J79" s="294">
        <v>41508</v>
      </c>
      <c r="K79" s="294">
        <v>41505</v>
      </c>
      <c r="L79" s="295">
        <v>33</v>
      </c>
      <c r="M79" s="296" t="s">
        <v>327</v>
      </c>
      <c r="N79" s="296" t="s">
        <v>118</v>
      </c>
      <c r="O79" s="295">
        <v>2701</v>
      </c>
      <c r="P79" s="295">
        <v>10.199999999999999</v>
      </c>
      <c r="Q79" s="295">
        <v>0.33434838581897408</v>
      </c>
      <c r="R79" s="292">
        <v>176.05</v>
      </c>
      <c r="S79" s="97"/>
      <c r="T79" s="97"/>
      <c r="U79" s="291" t="s">
        <v>325</v>
      </c>
      <c r="V79" s="291" t="s">
        <v>325</v>
      </c>
      <c r="W79" s="97"/>
      <c r="X79" s="292">
        <v>0</v>
      </c>
    </row>
    <row r="80" spans="1:24" ht="18" customHeight="1">
      <c r="A80" s="288">
        <v>5933814115</v>
      </c>
      <c r="B80" s="289" t="s">
        <v>323</v>
      </c>
      <c r="C80" s="290" t="s">
        <v>180</v>
      </c>
      <c r="D80" s="291" t="s">
        <v>325</v>
      </c>
      <c r="E80" s="290" t="s">
        <v>332</v>
      </c>
      <c r="F80" s="291" t="s">
        <v>325</v>
      </c>
      <c r="G80" s="292">
        <v>485.83</v>
      </c>
      <c r="H80" s="292">
        <v>0</v>
      </c>
      <c r="I80" s="297">
        <v>485.83</v>
      </c>
      <c r="J80" s="294">
        <v>41508</v>
      </c>
      <c r="K80" s="294">
        <v>41505</v>
      </c>
      <c r="L80" s="295">
        <v>33</v>
      </c>
      <c r="M80" s="296" t="s">
        <v>327</v>
      </c>
      <c r="N80" s="296" t="s">
        <v>181</v>
      </c>
      <c r="O80" s="295">
        <v>19829</v>
      </c>
      <c r="P80" s="295">
        <v>29.4</v>
      </c>
      <c r="Q80" s="295">
        <v>0.85158558372844084</v>
      </c>
      <c r="R80" s="292">
        <v>485.83</v>
      </c>
      <c r="S80" s="97"/>
      <c r="T80" s="97"/>
      <c r="U80" s="291" t="s">
        <v>325</v>
      </c>
      <c r="V80" s="291" t="s">
        <v>325</v>
      </c>
      <c r="W80" s="97"/>
      <c r="X80" s="292">
        <v>0</v>
      </c>
    </row>
    <row r="81" spans="1:24" ht="18" customHeight="1">
      <c r="A81" s="288">
        <v>6053820112</v>
      </c>
      <c r="B81" s="289" t="s">
        <v>323</v>
      </c>
      <c r="C81" s="290" t="s">
        <v>182</v>
      </c>
      <c r="D81" s="291" t="s">
        <v>325</v>
      </c>
      <c r="E81" s="290" t="s">
        <v>326</v>
      </c>
      <c r="F81" s="291" t="s">
        <v>325</v>
      </c>
      <c r="G81" s="292">
        <v>22.48</v>
      </c>
      <c r="H81" s="292">
        <v>0</v>
      </c>
      <c r="I81" s="297">
        <v>22.48</v>
      </c>
      <c r="J81" s="294">
        <v>41508</v>
      </c>
      <c r="K81" s="294">
        <v>41506</v>
      </c>
      <c r="L81" s="295">
        <v>33</v>
      </c>
      <c r="M81" s="296" t="s">
        <v>327</v>
      </c>
      <c r="N81" s="296" t="s">
        <v>183</v>
      </c>
      <c r="O81" s="295">
        <v>32</v>
      </c>
      <c r="P81" s="97"/>
      <c r="Q81" s="97"/>
      <c r="R81" s="292">
        <v>22.48</v>
      </c>
      <c r="S81" s="97"/>
      <c r="T81" s="97"/>
      <c r="U81" s="291" t="s">
        <v>325</v>
      </c>
      <c r="V81" s="291" t="s">
        <v>325</v>
      </c>
      <c r="W81" s="97"/>
      <c r="X81" s="292">
        <v>0</v>
      </c>
    </row>
    <row r="82" spans="1:24" ht="18" customHeight="1">
      <c r="A82" s="288">
        <v>6173817104</v>
      </c>
      <c r="B82" s="289" t="s">
        <v>323</v>
      </c>
      <c r="C82" s="290" t="s">
        <v>184</v>
      </c>
      <c r="D82" s="291" t="s">
        <v>325</v>
      </c>
      <c r="E82" s="290" t="s">
        <v>326</v>
      </c>
      <c r="F82" s="291" t="s">
        <v>325</v>
      </c>
      <c r="G82" s="292">
        <v>44.44</v>
      </c>
      <c r="H82" s="292">
        <v>0</v>
      </c>
      <c r="I82" s="297">
        <v>44.44</v>
      </c>
      <c r="J82" s="294">
        <v>41508</v>
      </c>
      <c r="K82" s="294">
        <v>41506</v>
      </c>
      <c r="L82" s="295">
        <v>33</v>
      </c>
      <c r="M82" s="296" t="s">
        <v>327</v>
      </c>
      <c r="N82" s="296" t="s">
        <v>185</v>
      </c>
      <c r="O82" s="295">
        <v>414</v>
      </c>
      <c r="P82" s="97"/>
      <c r="Q82" s="97"/>
      <c r="R82" s="292">
        <v>44.44</v>
      </c>
      <c r="S82" s="97"/>
      <c r="T82" s="97"/>
      <c r="U82" s="291" t="s">
        <v>325</v>
      </c>
      <c r="V82" s="291" t="s">
        <v>325</v>
      </c>
      <c r="W82" s="97"/>
      <c r="X82" s="292">
        <v>0</v>
      </c>
    </row>
    <row r="83" spans="1:24" ht="18" customHeight="1">
      <c r="A83" s="288">
        <v>6368810106</v>
      </c>
      <c r="B83" s="289" t="s">
        <v>323</v>
      </c>
      <c r="C83" s="290" t="s">
        <v>186</v>
      </c>
      <c r="D83" s="291" t="s">
        <v>325</v>
      </c>
      <c r="E83" s="290" t="s">
        <v>326</v>
      </c>
      <c r="F83" s="291" t="s">
        <v>325</v>
      </c>
      <c r="G83" s="292">
        <v>292.08</v>
      </c>
      <c r="H83" s="292">
        <v>0</v>
      </c>
      <c r="I83" s="297">
        <v>292.08</v>
      </c>
      <c r="J83" s="294">
        <v>41500</v>
      </c>
      <c r="K83" s="294">
        <v>41498</v>
      </c>
      <c r="L83" s="295">
        <v>32</v>
      </c>
      <c r="M83" s="296" t="s">
        <v>327</v>
      </c>
      <c r="N83" s="296" t="s">
        <v>187</v>
      </c>
      <c r="O83" s="295">
        <v>4718</v>
      </c>
      <c r="P83" s="97"/>
      <c r="Q83" s="97"/>
      <c r="R83" s="292">
        <v>292.08</v>
      </c>
      <c r="S83" s="97"/>
      <c r="T83" s="97"/>
      <c r="U83" s="291" t="s">
        <v>325</v>
      </c>
      <c r="V83" s="291" t="s">
        <v>325</v>
      </c>
      <c r="W83" s="97"/>
      <c r="X83" s="292">
        <v>0</v>
      </c>
    </row>
    <row r="84" spans="1:24" ht="18" customHeight="1">
      <c r="A84" s="288">
        <v>6853819124</v>
      </c>
      <c r="B84" s="289" t="s">
        <v>323</v>
      </c>
      <c r="C84" s="290" t="s">
        <v>188</v>
      </c>
      <c r="D84" s="291" t="s">
        <v>325</v>
      </c>
      <c r="E84" s="290" t="s">
        <v>255</v>
      </c>
      <c r="F84" s="291" t="s">
        <v>325</v>
      </c>
      <c r="G84" s="292">
        <v>45.47</v>
      </c>
      <c r="H84" s="292">
        <v>0</v>
      </c>
      <c r="I84" s="297">
        <v>45.47</v>
      </c>
      <c r="J84" s="294">
        <v>41508</v>
      </c>
      <c r="K84" s="294">
        <v>41506</v>
      </c>
      <c r="L84" s="295">
        <v>32</v>
      </c>
      <c r="M84" s="296" t="s">
        <v>327</v>
      </c>
      <c r="N84" s="296" t="s">
        <v>189</v>
      </c>
      <c r="O84" s="295">
        <v>195</v>
      </c>
      <c r="P84" s="97"/>
      <c r="Q84" s="97"/>
      <c r="R84" s="292">
        <v>45.47</v>
      </c>
      <c r="S84" s="97"/>
      <c r="T84" s="97"/>
      <c r="U84" s="291" t="s">
        <v>325</v>
      </c>
      <c r="V84" s="291" t="s">
        <v>325</v>
      </c>
      <c r="W84" s="97"/>
      <c r="X84" s="292">
        <v>0</v>
      </c>
    </row>
    <row r="85" spans="1:24" ht="18" customHeight="1">
      <c r="A85" s="288">
        <v>6857311003</v>
      </c>
      <c r="B85" s="289" t="s">
        <v>323</v>
      </c>
      <c r="C85" s="290" t="s">
        <v>190</v>
      </c>
      <c r="D85" s="291" t="s">
        <v>325</v>
      </c>
      <c r="E85" s="290" t="s">
        <v>255</v>
      </c>
      <c r="F85" s="291" t="s">
        <v>325</v>
      </c>
      <c r="G85" s="292">
        <v>21.56</v>
      </c>
      <c r="H85" s="292">
        <v>0</v>
      </c>
      <c r="I85" s="297">
        <v>21.56</v>
      </c>
      <c r="J85" s="294">
        <v>41508</v>
      </c>
      <c r="K85" s="294">
        <v>41506</v>
      </c>
      <c r="L85" s="295">
        <v>33</v>
      </c>
      <c r="M85" s="296" t="s">
        <v>327</v>
      </c>
      <c r="N85" s="296" t="s">
        <v>191</v>
      </c>
      <c r="O85" s="295">
        <v>4</v>
      </c>
      <c r="P85" s="97"/>
      <c r="Q85" s="97"/>
      <c r="R85" s="292">
        <v>21.56</v>
      </c>
      <c r="S85" s="97"/>
      <c r="T85" s="97"/>
      <c r="U85" s="291" t="s">
        <v>325</v>
      </c>
      <c r="V85" s="291" t="s">
        <v>325</v>
      </c>
      <c r="W85" s="97"/>
      <c r="X85" s="292">
        <v>0</v>
      </c>
    </row>
    <row r="86" spans="1:24" ht="18" customHeight="1">
      <c r="A86" s="288">
        <v>7312015014</v>
      </c>
      <c r="B86" s="289" t="s">
        <v>323</v>
      </c>
      <c r="C86" s="290" t="s">
        <v>192</v>
      </c>
      <c r="D86" s="291" t="s">
        <v>325</v>
      </c>
      <c r="E86" s="290" t="s">
        <v>326</v>
      </c>
      <c r="F86" s="291" t="s">
        <v>325</v>
      </c>
      <c r="G86" s="292">
        <v>25.9</v>
      </c>
      <c r="H86" s="292">
        <v>0</v>
      </c>
      <c r="I86" s="297">
        <v>25.9</v>
      </c>
      <c r="J86" s="294">
        <v>41500</v>
      </c>
      <c r="K86" s="294">
        <v>41498</v>
      </c>
      <c r="L86" s="295">
        <v>32</v>
      </c>
      <c r="M86" s="296" t="s">
        <v>327</v>
      </c>
      <c r="N86" s="296" t="s">
        <v>193</v>
      </c>
      <c r="O86" s="295">
        <v>92</v>
      </c>
      <c r="P86" s="97"/>
      <c r="Q86" s="97"/>
      <c r="R86" s="292">
        <v>25.9</v>
      </c>
      <c r="S86" s="97"/>
      <c r="T86" s="97"/>
      <c r="U86" s="291" t="s">
        <v>325</v>
      </c>
      <c r="V86" s="291" t="s">
        <v>325</v>
      </c>
      <c r="W86" s="97"/>
      <c r="X86" s="292">
        <v>0</v>
      </c>
    </row>
    <row r="87" spans="1:24" ht="18" customHeight="1">
      <c r="A87" s="288">
        <v>8193819106</v>
      </c>
      <c r="B87" s="289" t="s">
        <v>323</v>
      </c>
      <c r="C87" s="290" t="s">
        <v>205</v>
      </c>
      <c r="D87" s="291" t="s">
        <v>325</v>
      </c>
      <c r="E87" s="291" t="s">
        <v>325</v>
      </c>
      <c r="F87" s="290" t="s">
        <v>335</v>
      </c>
      <c r="G87" s="292">
        <v>26.46</v>
      </c>
      <c r="H87" s="292">
        <v>0</v>
      </c>
      <c r="I87" s="297">
        <v>26.46</v>
      </c>
      <c r="J87" s="294">
        <v>41508</v>
      </c>
      <c r="K87" s="97"/>
      <c r="L87" s="97"/>
      <c r="M87" s="298" t="s">
        <v>325</v>
      </c>
      <c r="N87" s="298" t="s">
        <v>325</v>
      </c>
      <c r="O87" s="97"/>
      <c r="P87" s="97"/>
      <c r="Q87" s="97"/>
      <c r="R87" s="292">
        <v>0</v>
      </c>
      <c r="S87" s="294">
        <v>41506</v>
      </c>
      <c r="T87" s="295">
        <v>33</v>
      </c>
      <c r="U87" s="290" t="s">
        <v>327</v>
      </c>
      <c r="V87" s="290" t="s">
        <v>88</v>
      </c>
      <c r="W87" s="295">
        <v>11</v>
      </c>
      <c r="X87" s="292">
        <v>26.46</v>
      </c>
    </row>
    <row r="88" spans="1:24" ht="18" customHeight="1">
      <c r="A88" s="288">
        <v>8714009102</v>
      </c>
      <c r="B88" s="289" t="s">
        <v>323</v>
      </c>
      <c r="C88" s="290" t="s">
        <v>89</v>
      </c>
      <c r="D88" s="291" t="s">
        <v>325</v>
      </c>
      <c r="E88" s="290" t="s">
        <v>326</v>
      </c>
      <c r="F88" s="290" t="s">
        <v>163</v>
      </c>
      <c r="G88" s="292">
        <v>79.760000000000005</v>
      </c>
      <c r="H88" s="292">
        <v>0</v>
      </c>
      <c r="I88" s="297">
        <v>79.760000000000005</v>
      </c>
      <c r="J88" s="294">
        <v>41479</v>
      </c>
      <c r="K88" s="294">
        <v>41474</v>
      </c>
      <c r="L88" s="295">
        <v>31</v>
      </c>
      <c r="M88" s="296" t="s">
        <v>327</v>
      </c>
      <c r="N88" s="296" t="s">
        <v>90</v>
      </c>
      <c r="O88" s="295">
        <v>570</v>
      </c>
      <c r="P88" s="97"/>
      <c r="Q88" s="97"/>
      <c r="R88" s="292">
        <v>52.31</v>
      </c>
      <c r="S88" s="294">
        <v>41478</v>
      </c>
      <c r="T88" s="295">
        <v>34</v>
      </c>
      <c r="U88" s="290" t="s">
        <v>327</v>
      </c>
      <c r="V88" s="290" t="s">
        <v>91</v>
      </c>
      <c r="W88" s="295">
        <v>6</v>
      </c>
      <c r="X88" s="292">
        <v>27.45</v>
      </c>
    </row>
    <row r="89" spans="1:24" ht="18" customHeight="1">
      <c r="A89" s="288">
        <v>8993882105</v>
      </c>
      <c r="B89" s="289" t="s">
        <v>323</v>
      </c>
      <c r="C89" s="290" t="s">
        <v>92</v>
      </c>
      <c r="D89" s="291" t="s">
        <v>325</v>
      </c>
      <c r="E89" s="290" t="s">
        <v>330</v>
      </c>
      <c r="F89" s="291" t="s">
        <v>325</v>
      </c>
      <c r="G89" s="292">
        <v>94.57</v>
      </c>
      <c r="H89" s="292">
        <v>0</v>
      </c>
      <c r="I89" s="297">
        <v>94.57</v>
      </c>
      <c r="J89" s="294">
        <v>41508</v>
      </c>
      <c r="K89" s="294">
        <v>41508</v>
      </c>
      <c r="L89" s="295">
        <v>31</v>
      </c>
      <c r="M89" s="296" t="s">
        <v>327</v>
      </c>
      <c r="N89" s="298" t="s">
        <v>325</v>
      </c>
      <c r="O89" s="295">
        <v>69</v>
      </c>
      <c r="P89" s="97"/>
      <c r="Q89" s="97"/>
      <c r="R89" s="292">
        <v>94.57</v>
      </c>
      <c r="S89" s="97"/>
      <c r="T89" s="97"/>
      <c r="U89" s="291" t="s">
        <v>325</v>
      </c>
      <c r="V89" s="291" t="s">
        <v>325</v>
      </c>
      <c r="W89" s="97"/>
      <c r="X89" s="292">
        <v>0</v>
      </c>
    </row>
    <row r="90" spans="1:24" ht="18" customHeight="1">
      <c r="A90" s="288">
        <v>9308810101</v>
      </c>
      <c r="B90" s="289" t="s">
        <v>323</v>
      </c>
      <c r="C90" s="290" t="s">
        <v>337</v>
      </c>
      <c r="D90" s="291" t="s">
        <v>325</v>
      </c>
      <c r="E90" s="291" t="s">
        <v>325</v>
      </c>
      <c r="F90" s="290" t="s">
        <v>335</v>
      </c>
      <c r="G90" s="292">
        <v>26.46</v>
      </c>
      <c r="H90" s="292">
        <v>0</v>
      </c>
      <c r="I90" s="297">
        <v>26.46</v>
      </c>
      <c r="J90" s="294">
        <v>41500</v>
      </c>
      <c r="K90" s="97"/>
      <c r="L90" s="97"/>
      <c r="M90" s="298" t="s">
        <v>325</v>
      </c>
      <c r="N90" s="298" t="s">
        <v>325</v>
      </c>
      <c r="O90" s="97"/>
      <c r="P90" s="97"/>
      <c r="Q90" s="97"/>
      <c r="R90" s="292">
        <v>0</v>
      </c>
      <c r="S90" s="294">
        <v>41498</v>
      </c>
      <c r="T90" s="295">
        <v>32</v>
      </c>
      <c r="U90" s="290" t="s">
        <v>327</v>
      </c>
      <c r="V90" s="290" t="s">
        <v>93</v>
      </c>
      <c r="W90" s="295">
        <v>11</v>
      </c>
      <c r="X90" s="292">
        <v>26.46</v>
      </c>
    </row>
    <row r="91" spans="1:24" ht="18" customHeight="1">
      <c r="A91" s="288">
        <v>9428808118</v>
      </c>
      <c r="B91" s="289" t="s">
        <v>323</v>
      </c>
      <c r="C91" s="290" t="s">
        <v>94</v>
      </c>
      <c r="D91" s="291" t="s">
        <v>325</v>
      </c>
      <c r="E91" s="291" t="s">
        <v>325</v>
      </c>
      <c r="F91" s="290" t="s">
        <v>236</v>
      </c>
      <c r="G91" s="292">
        <v>20.36</v>
      </c>
      <c r="H91" s="292">
        <v>0</v>
      </c>
      <c r="I91" s="297">
        <v>20.36</v>
      </c>
      <c r="J91" s="294">
        <v>41500</v>
      </c>
      <c r="K91" s="97"/>
      <c r="L91" s="97"/>
      <c r="M91" s="298" t="s">
        <v>325</v>
      </c>
      <c r="N91" s="298" t="s">
        <v>325</v>
      </c>
      <c r="O91" s="97"/>
      <c r="P91" s="97"/>
      <c r="Q91" s="97"/>
      <c r="R91" s="292">
        <v>0</v>
      </c>
      <c r="S91" s="294">
        <v>41498</v>
      </c>
      <c r="T91" s="295">
        <v>32</v>
      </c>
      <c r="U91" s="290" t="s">
        <v>327</v>
      </c>
      <c r="V91" s="290" t="s">
        <v>97</v>
      </c>
      <c r="W91" s="295">
        <v>0</v>
      </c>
      <c r="X91" s="292">
        <v>20.36</v>
      </c>
    </row>
    <row r="92" spans="1:24" ht="18" customHeight="1">
      <c r="A92" s="288">
        <v>9488810107</v>
      </c>
      <c r="B92" s="289" t="s">
        <v>323</v>
      </c>
      <c r="C92" s="290" t="s">
        <v>337</v>
      </c>
      <c r="D92" s="291" t="s">
        <v>325</v>
      </c>
      <c r="E92" s="290" t="s">
        <v>332</v>
      </c>
      <c r="F92" s="291" t="s">
        <v>325</v>
      </c>
      <c r="G92" s="292">
        <v>2087.77</v>
      </c>
      <c r="H92" s="292">
        <v>2087.77</v>
      </c>
      <c r="I92" s="297">
        <v>0</v>
      </c>
      <c r="J92" s="294">
        <v>41500</v>
      </c>
      <c r="K92" s="97"/>
      <c r="L92" s="97"/>
      <c r="M92" s="298" t="s">
        <v>325</v>
      </c>
      <c r="N92" s="296" t="s">
        <v>134</v>
      </c>
      <c r="O92" s="97"/>
      <c r="P92" s="97"/>
      <c r="Q92" s="97"/>
      <c r="R92" s="292">
        <v>0</v>
      </c>
      <c r="S92" s="97"/>
      <c r="T92" s="97"/>
      <c r="U92" s="291" t="s">
        <v>325</v>
      </c>
      <c r="V92" s="291" t="s">
        <v>325</v>
      </c>
      <c r="W92" s="97"/>
      <c r="X92" s="292">
        <v>0</v>
      </c>
    </row>
    <row r="93" spans="1:24" ht="18" customHeight="1">
      <c r="A93" s="288">
        <v>9529017113</v>
      </c>
      <c r="B93" s="289" t="s">
        <v>323</v>
      </c>
      <c r="C93" s="290" t="s">
        <v>99</v>
      </c>
      <c r="D93" s="291" t="s">
        <v>325</v>
      </c>
      <c r="E93" s="290" t="s">
        <v>326</v>
      </c>
      <c r="F93" s="291" t="s">
        <v>325</v>
      </c>
      <c r="G93" s="292">
        <v>87.41</v>
      </c>
      <c r="H93" s="292">
        <v>0</v>
      </c>
      <c r="I93" s="297">
        <v>87.41</v>
      </c>
      <c r="J93" s="294">
        <v>41501</v>
      </c>
      <c r="K93" s="294">
        <v>41498</v>
      </c>
      <c r="L93" s="295">
        <v>31</v>
      </c>
      <c r="M93" s="296" t="s">
        <v>327</v>
      </c>
      <c r="N93" s="296" t="s">
        <v>100</v>
      </c>
      <c r="O93" s="295">
        <v>1161</v>
      </c>
      <c r="P93" s="97"/>
      <c r="Q93" s="97"/>
      <c r="R93" s="292">
        <v>87.41</v>
      </c>
      <c r="S93" s="97"/>
      <c r="T93" s="97"/>
      <c r="U93" s="291" t="s">
        <v>325</v>
      </c>
      <c r="V93" s="291" t="s">
        <v>325</v>
      </c>
      <c r="W93" s="97"/>
      <c r="X93" s="292">
        <v>0</v>
      </c>
    </row>
    <row r="94" spans="1:24" ht="18" customHeight="1">
      <c r="A94" s="288">
        <v>9753819107</v>
      </c>
      <c r="B94" s="289" t="s">
        <v>323</v>
      </c>
      <c r="C94" s="290" t="s">
        <v>101</v>
      </c>
      <c r="D94" s="291" t="s">
        <v>325</v>
      </c>
      <c r="E94" s="290" t="s">
        <v>332</v>
      </c>
      <c r="F94" s="290" t="s">
        <v>277</v>
      </c>
      <c r="G94" s="292">
        <v>854.56</v>
      </c>
      <c r="H94" s="292">
        <v>0</v>
      </c>
      <c r="I94" s="297">
        <v>854.56</v>
      </c>
      <c r="J94" s="294">
        <v>41508</v>
      </c>
      <c r="K94" s="294">
        <v>41507</v>
      </c>
      <c r="L94" s="295">
        <v>33</v>
      </c>
      <c r="M94" s="296" t="s">
        <v>327</v>
      </c>
      <c r="N94" s="296" t="s">
        <v>102</v>
      </c>
      <c r="O94" s="295">
        <v>19680</v>
      </c>
      <c r="P94" s="295">
        <v>62.4</v>
      </c>
      <c r="Q94" s="295">
        <v>0.39821289821289824</v>
      </c>
      <c r="R94" s="292">
        <v>830.39</v>
      </c>
      <c r="S94" s="294">
        <v>41506</v>
      </c>
      <c r="T94" s="295">
        <v>33</v>
      </c>
      <c r="U94" s="290" t="s">
        <v>327</v>
      </c>
      <c r="V94" s="290" t="s">
        <v>103</v>
      </c>
      <c r="W94" s="295">
        <v>0</v>
      </c>
      <c r="X94" s="292">
        <v>24.17</v>
      </c>
    </row>
    <row r="95" spans="1:24" ht="18" customHeight="1">
      <c r="A95" s="288">
        <v>9753820119</v>
      </c>
      <c r="B95" s="289" t="s">
        <v>323</v>
      </c>
      <c r="C95" s="290" t="s">
        <v>104</v>
      </c>
      <c r="D95" s="291" t="s">
        <v>325</v>
      </c>
      <c r="E95" s="290" t="s">
        <v>326</v>
      </c>
      <c r="F95" s="291" t="s">
        <v>325</v>
      </c>
      <c r="G95" s="292">
        <v>23.28</v>
      </c>
      <c r="H95" s="292">
        <v>0</v>
      </c>
      <c r="I95" s="297">
        <v>23.28</v>
      </c>
      <c r="J95" s="294">
        <v>41508</v>
      </c>
      <c r="K95" s="294">
        <v>41506</v>
      </c>
      <c r="L95" s="295">
        <v>33</v>
      </c>
      <c r="M95" s="296" t="s">
        <v>327</v>
      </c>
      <c r="N95" s="296" t="s">
        <v>105</v>
      </c>
      <c r="O95" s="295">
        <v>46</v>
      </c>
      <c r="P95" s="97"/>
      <c r="Q95" s="97"/>
      <c r="R95" s="292">
        <v>23.28</v>
      </c>
      <c r="S95" s="97"/>
      <c r="T95" s="97"/>
      <c r="U95" s="291" t="s">
        <v>325</v>
      </c>
      <c r="V95" s="291" t="s">
        <v>325</v>
      </c>
      <c r="W95" s="97"/>
      <c r="X95" s="292">
        <v>0</v>
      </c>
    </row>
    <row r="96" spans="1:24" ht="18" customHeight="1">
      <c r="A96" s="288">
        <v>9953820104</v>
      </c>
      <c r="B96" s="289" t="s">
        <v>323</v>
      </c>
      <c r="C96" s="290" t="s">
        <v>106</v>
      </c>
      <c r="D96" s="291" t="s">
        <v>325</v>
      </c>
      <c r="E96" s="290" t="s">
        <v>326</v>
      </c>
      <c r="F96" s="291" t="s">
        <v>325</v>
      </c>
      <c r="G96" s="292">
        <v>37.14</v>
      </c>
      <c r="H96" s="292">
        <v>0</v>
      </c>
      <c r="I96" s="297">
        <v>37.14</v>
      </c>
      <c r="J96" s="294">
        <v>41508</v>
      </c>
      <c r="K96" s="294">
        <v>41506</v>
      </c>
      <c r="L96" s="295">
        <v>33</v>
      </c>
      <c r="M96" s="296" t="s">
        <v>327</v>
      </c>
      <c r="N96" s="296" t="s">
        <v>107</v>
      </c>
      <c r="O96" s="295">
        <v>287</v>
      </c>
      <c r="P96" s="97"/>
      <c r="Q96" s="97"/>
      <c r="R96" s="292">
        <v>37.14</v>
      </c>
      <c r="S96" s="97"/>
      <c r="T96" s="97"/>
      <c r="U96" s="291" t="s">
        <v>325</v>
      </c>
      <c r="V96" s="291" t="s">
        <v>325</v>
      </c>
      <c r="W96" s="97"/>
      <c r="X96" s="292">
        <v>0</v>
      </c>
    </row>
    <row r="97" spans="1:25" ht="18" customHeight="1">
      <c r="A97" s="97"/>
      <c r="C97" s="97"/>
      <c r="D97" s="97"/>
      <c r="E97" s="97"/>
      <c r="F97" s="97"/>
      <c r="G97" s="98"/>
      <c r="H97" s="98"/>
      <c r="I97" s="300"/>
      <c r="J97" s="97"/>
      <c r="K97" s="97"/>
      <c r="L97" s="97"/>
      <c r="M97" s="301"/>
      <c r="N97" s="301"/>
      <c r="O97" s="97"/>
      <c r="P97" s="97"/>
      <c r="Q97" s="97"/>
      <c r="R97" s="98"/>
      <c r="S97" s="97"/>
      <c r="T97" s="97"/>
      <c r="U97" s="97"/>
      <c r="V97" s="97"/>
      <c r="W97" s="97"/>
      <c r="X97" s="98"/>
    </row>
    <row r="98" spans="1:25" ht="18" customHeight="1">
      <c r="A98" s="97"/>
      <c r="C98" s="97"/>
      <c r="D98" s="97"/>
      <c r="E98" s="97"/>
      <c r="F98" s="97"/>
      <c r="G98" s="97"/>
      <c r="H98" s="98"/>
      <c r="I98" s="302">
        <f>SUM(I15:I97)</f>
        <v>18584.100000000002</v>
      </c>
      <c r="J98" s="98"/>
      <c r="K98" s="97"/>
      <c r="L98" s="97"/>
      <c r="M98" s="301"/>
      <c r="N98" s="301"/>
      <c r="O98" s="97"/>
      <c r="P98" s="97"/>
      <c r="Q98" s="97"/>
      <c r="R98" s="97"/>
      <c r="S98" s="98"/>
      <c r="T98" s="97"/>
      <c r="U98" s="97"/>
      <c r="V98" s="97"/>
      <c r="W98" s="97"/>
      <c r="X98" s="97"/>
      <c r="Y98" s="256"/>
    </row>
  </sheetData>
  <mergeCells count="3">
    <mergeCell ref="A5:E5"/>
    <mergeCell ref="A6:E6"/>
    <mergeCell ref="A11:B11"/>
  </mergeCells>
  <phoneticPr fontId="7" type="noConversion"/>
  <pageMargins left="0.5" right="0.5" top="0.5" bottom="0.5" header="0" footer="0"/>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9"/>
  <sheetViews>
    <sheetView tabSelected="1" topLeftCell="A31" workbookViewId="0">
      <selection activeCell="E81" sqref="E81"/>
    </sheetView>
  </sheetViews>
  <sheetFormatPr baseColWidth="10" defaultRowHeight="14" x14ac:dyDescent="0"/>
  <cols>
    <col min="1" max="1" width="3.33203125" style="432" customWidth="1"/>
    <col min="2" max="2" width="21.6640625" style="432" customWidth="1"/>
    <col min="3" max="3" width="11.1640625" style="432" customWidth="1"/>
    <col min="4" max="4" width="12.83203125" style="432" customWidth="1"/>
    <col min="5" max="5" width="11.1640625" style="432" customWidth="1"/>
    <col min="6" max="6" width="12.83203125" style="432" customWidth="1"/>
    <col min="7" max="8" width="11.1640625" style="432" customWidth="1"/>
    <col min="9" max="9" width="14.5" style="432" customWidth="1"/>
    <col min="10" max="15" width="10.83203125" style="432"/>
    <col min="16" max="16" width="18.83203125" style="432" customWidth="1"/>
    <col min="17" max="17" width="8.6640625" style="432" customWidth="1"/>
    <col min="18" max="18" width="13.83203125" style="432" customWidth="1"/>
    <col min="19" max="19" width="10" style="432" customWidth="1"/>
    <col min="20" max="20" width="9.83203125" style="432" customWidth="1"/>
    <col min="21" max="21" width="11.6640625" style="432" customWidth="1"/>
    <col min="22" max="22" width="9.83203125" style="432" customWidth="1"/>
    <col min="23" max="23" width="11.1640625" style="432" customWidth="1"/>
    <col min="24" max="16384" width="10.83203125" style="432"/>
  </cols>
  <sheetData>
    <row r="1" spans="1:9" ht="21" thickBot="1">
      <c r="A1" s="687" t="s">
        <v>624</v>
      </c>
      <c r="B1" s="688"/>
      <c r="C1" s="688"/>
      <c r="D1" s="688"/>
      <c r="E1" s="688"/>
      <c r="F1" s="688"/>
      <c r="G1" s="688"/>
      <c r="H1" s="688"/>
      <c r="I1" s="689"/>
    </row>
    <row r="3" spans="1:9">
      <c r="B3" s="666" t="s">
        <v>715</v>
      </c>
      <c r="C3" s="667"/>
      <c r="D3" s="667"/>
      <c r="E3" s="667"/>
      <c r="F3" s="667"/>
      <c r="G3" s="667"/>
      <c r="H3" s="667"/>
      <c r="I3" s="667"/>
    </row>
    <row r="5" spans="1:9" ht="28">
      <c r="B5" s="450" t="s">
        <v>711</v>
      </c>
      <c r="C5" s="452" t="s">
        <v>628</v>
      </c>
      <c r="D5" s="452" t="s">
        <v>681</v>
      </c>
      <c r="E5" s="452" t="s">
        <v>635</v>
      </c>
      <c r="F5" s="452" t="s">
        <v>636</v>
      </c>
      <c r="G5" s="638" t="s">
        <v>632</v>
      </c>
      <c r="H5" s="452" t="s">
        <v>633</v>
      </c>
      <c r="I5" s="619" t="s">
        <v>634</v>
      </c>
    </row>
    <row r="6" spans="1:9">
      <c r="B6" s="608" t="s">
        <v>712</v>
      </c>
      <c r="C6" s="457">
        <v>0</v>
      </c>
      <c r="D6" s="519">
        <v>0</v>
      </c>
      <c r="E6" s="600">
        <v>0</v>
      </c>
      <c r="F6" s="457">
        <v>0</v>
      </c>
      <c r="G6" s="663">
        <f>'Vehicle Fleet'!$J$19</f>
        <v>946.38205155999981</v>
      </c>
      <c r="H6" s="601">
        <f>('Vehicle Fleet'!$C$17*0.124262)+('Vehicle Fleet'!$D$17*0.1396)</f>
        <v>13039.533069999999</v>
      </c>
      <c r="I6" s="609">
        <f>'Vehicle Fleet'!$G$17</f>
        <v>290393</v>
      </c>
    </row>
    <row r="7" spans="1:9">
      <c r="B7" s="608" t="s">
        <v>607</v>
      </c>
      <c r="C7" s="602">
        <f>SUMIFS('Nat Gas and Electricity'!$J:$J,'Nat Gas and Electricity'!$E:$E,"Town_Bldgs")</f>
        <v>880523</v>
      </c>
      <c r="D7" s="606">
        <f>SUMIFS('Nat Gas and Electricity'!$K:$K,'Nat Gas and Electricity'!$E:$E,"Town_Bldgs")</f>
        <v>69350.95</v>
      </c>
      <c r="E7" s="604">
        <f>SUMIFS('Nat Gas and Electricity'!$M:$M,'Nat Gas and Electricity'!$E:$E,"Town_Bldgs")</f>
        <v>41849</v>
      </c>
      <c r="F7" s="606">
        <f>SUMIFS('Nat Gas and Electricity'!$N:$N,'Nat Gas and Electricity'!$E:$E,"Town_Bldgs")</f>
        <v>24125.26</v>
      </c>
      <c r="G7" s="664">
        <f>SUMIFS('Nat Gas and Electricity'!$W:$W,'Nat Gas and Electricity'!$E:$E,"Town_Bldgs")</f>
        <v>478.79288026743831</v>
      </c>
      <c r="H7" s="510">
        <f>(C7*0.003412)+(E7*0.1)</f>
        <v>7189.2444760000008</v>
      </c>
      <c r="I7" s="609">
        <f>D7+F7</f>
        <v>93476.209999999992</v>
      </c>
    </row>
    <row r="8" spans="1:9">
      <c r="B8" s="608" t="s">
        <v>625</v>
      </c>
      <c r="C8" s="602">
        <f>SUMIFS('Nat Gas and Electricity'!$J:$J,'Nat Gas and Electricity'!$E:$E,"Outdoor_Lighting")</f>
        <v>742325</v>
      </c>
      <c r="D8" s="603">
        <f>SUMIFS('Nat Gas and Electricity'!$K:$K,'Nat Gas and Electricity'!$E:$E,"Outdoor_Lighting")</f>
        <v>169825.02912579823</v>
      </c>
      <c r="E8" s="604">
        <f>SUMIFS('Nat Gas and Electricity'!$M:$M,'Nat Gas and Electricity'!$E:$E,"Outdoor_Lighting")</f>
        <v>0</v>
      </c>
      <c r="F8" s="602">
        <f>SUMIFS('Nat Gas and Electricity'!$N:$N,'Nat Gas and Electricity'!$E:$E,"Outdoor_Lighting")</f>
        <v>0</v>
      </c>
      <c r="G8" s="664">
        <f>SUMIFS('Nat Gas and Electricity'!$W:$W,'Nat Gas and Electricity'!$E:$E,"Outdoor_Lighting")</f>
        <v>211.78937450853215</v>
      </c>
      <c r="H8" s="510">
        <f>(C8*0.003412)+(E8*0.1)</f>
        <v>2532.8128999999999</v>
      </c>
      <c r="I8" s="609">
        <f>D8+F8</f>
        <v>169825.02912579823</v>
      </c>
    </row>
    <row r="9" spans="1:9">
      <c r="B9" s="608" t="s">
        <v>626</v>
      </c>
      <c r="C9" s="602">
        <f>SUMIFS('Nat Gas and Electricity'!$J:$J,'Nat Gas and Electricity'!$E:$E,"Sewer_Districts")</f>
        <v>164325</v>
      </c>
      <c r="D9" s="606">
        <f>SUMIFS('Nat Gas and Electricity'!$K:$K,'Nat Gas and Electricity'!$E:$E,"Sewer_Districts")</f>
        <v>16433.559999999998</v>
      </c>
      <c r="E9" s="604">
        <f>SUMIFS('Nat Gas and Electricity'!$M:$M,'Nat Gas and Electricity'!$E:$E,"Sewer_Districts")</f>
        <v>366</v>
      </c>
      <c r="F9" s="606">
        <f>SUMIFS('Nat Gas and Electricity'!$N:$N,'Nat Gas and Electricity'!$E:$E,"Sewer_Districts")</f>
        <v>1609.7199999999998</v>
      </c>
      <c r="G9" s="664">
        <f>SUMIFS('Nat Gas and Electricity'!$W:$W,'Nat Gas and Electricity'!$E:$E,"Sewer_Districts")</f>
        <v>48.873127474104379</v>
      </c>
      <c r="H9" s="510">
        <f>(C9*0.003412)+(E9*0.1)</f>
        <v>597.27690000000007</v>
      </c>
      <c r="I9" s="609">
        <f>D9+F9</f>
        <v>18043.28</v>
      </c>
    </row>
    <row r="10" spans="1:9">
      <c r="B10" s="614" t="s">
        <v>671</v>
      </c>
      <c r="C10" s="615">
        <f t="shared" ref="C10:I10" si="0">SUM(C6:C9)</f>
        <v>1787173</v>
      </c>
      <c r="D10" s="616">
        <f t="shared" si="0"/>
        <v>255609.53912579821</v>
      </c>
      <c r="E10" s="615">
        <f t="shared" si="0"/>
        <v>42215</v>
      </c>
      <c r="F10" s="616">
        <f t="shared" si="0"/>
        <v>25734.98</v>
      </c>
      <c r="G10" s="665">
        <f t="shared" si="0"/>
        <v>1685.8374338100746</v>
      </c>
      <c r="H10" s="617">
        <f t="shared" si="0"/>
        <v>23358.867346000003</v>
      </c>
      <c r="I10" s="618">
        <f t="shared" si="0"/>
        <v>571737.51912579825</v>
      </c>
    </row>
    <row r="13" spans="1:9" ht="28">
      <c r="B13" s="450" t="s">
        <v>711</v>
      </c>
      <c r="C13" s="452" t="s">
        <v>628</v>
      </c>
      <c r="D13" s="452" t="s">
        <v>681</v>
      </c>
      <c r="E13" s="452" t="s">
        <v>635</v>
      </c>
      <c r="F13" s="452" t="s">
        <v>636</v>
      </c>
      <c r="G13" s="452" t="s">
        <v>632</v>
      </c>
      <c r="H13" s="452" t="s">
        <v>633</v>
      </c>
      <c r="I13" s="635" t="s">
        <v>634</v>
      </c>
    </row>
    <row r="14" spans="1:9">
      <c r="B14" s="608" t="s">
        <v>712</v>
      </c>
      <c r="C14" s="457">
        <v>0</v>
      </c>
      <c r="D14" s="519">
        <v>0</v>
      </c>
      <c r="E14" s="600">
        <v>0</v>
      </c>
      <c r="F14" s="457">
        <v>0</v>
      </c>
      <c r="G14" s="526">
        <f>'Vehicle Fleet'!$J$19</f>
        <v>946.38205155999981</v>
      </c>
      <c r="H14" s="601">
        <f>('Vehicle Fleet'!$C$17*0.124262)+('Vehicle Fleet'!$D$17*0.1396)</f>
        <v>13039.533069999999</v>
      </c>
      <c r="I14" s="661">
        <f>'Vehicle Fleet'!$G$17</f>
        <v>290393</v>
      </c>
    </row>
    <row r="15" spans="1:9">
      <c r="B15" s="608" t="s">
        <v>625</v>
      </c>
      <c r="C15" s="602">
        <f>SUMIFS('Nat Gas and Electricity'!$J:$J,'Nat Gas and Electricity'!$E:$E,"Outdoor_Lighting")</f>
        <v>742325</v>
      </c>
      <c r="D15" s="603">
        <f>SUMIFS('Nat Gas and Electricity'!$K:$K,'Nat Gas and Electricity'!$E:$E,"Outdoor_Lighting")</f>
        <v>169825.02912579823</v>
      </c>
      <c r="E15" s="604">
        <f>SUMIFS('Nat Gas and Electricity'!$M:$M,'Nat Gas and Electricity'!$E:$E,"Outdoor_Lighting")</f>
        <v>0</v>
      </c>
      <c r="F15" s="602">
        <f>SUMIFS('Nat Gas and Electricity'!$N:$N,'Nat Gas and Electricity'!$E:$E,"Outdoor_Lighting")</f>
        <v>0</v>
      </c>
      <c r="G15" s="605">
        <f>SUMIFS('Nat Gas and Electricity'!$W:$W,'Nat Gas and Electricity'!$E:$E,"Outdoor_Lighting")</f>
        <v>211.78937450853215</v>
      </c>
      <c r="H15" s="510">
        <f>(C15*0.003412)+(E15*0.1)</f>
        <v>2532.8128999999999</v>
      </c>
      <c r="I15" s="661">
        <f>D15+F15</f>
        <v>169825.02912579823</v>
      </c>
    </row>
    <row r="16" spans="1:9">
      <c r="B16" s="608" t="s">
        <v>607</v>
      </c>
      <c r="C16" s="602">
        <f>SUMIFS('Nat Gas and Electricity'!$J:$J,'Nat Gas and Electricity'!$E:$E,"Town_Bldgs")</f>
        <v>880523</v>
      </c>
      <c r="D16" s="606">
        <f>SUMIFS('Nat Gas and Electricity'!$K:$K,'Nat Gas and Electricity'!$E:$E,"Town_Bldgs")</f>
        <v>69350.95</v>
      </c>
      <c r="E16" s="604">
        <f>SUMIFS('Nat Gas and Electricity'!$M:$M,'Nat Gas and Electricity'!$E:$E,"Town_Bldgs")</f>
        <v>41849</v>
      </c>
      <c r="F16" s="606">
        <f>SUMIFS('Nat Gas and Electricity'!$N:$N,'Nat Gas and Electricity'!$E:$E,"Town_Bldgs")</f>
        <v>24125.26</v>
      </c>
      <c r="G16" s="605">
        <f>SUMIFS('Nat Gas and Electricity'!$W:$W,'Nat Gas and Electricity'!$E:$E,"Town_Bldgs")</f>
        <v>478.79288026743831</v>
      </c>
      <c r="H16" s="510">
        <f>(C16*0.003412)+(E16*0.1)</f>
        <v>7189.2444760000008</v>
      </c>
      <c r="I16" s="661">
        <f>D16+F16</f>
        <v>93476.209999999992</v>
      </c>
    </row>
    <row r="17" spans="2:10">
      <c r="B17" s="608" t="s">
        <v>626</v>
      </c>
      <c r="C17" s="602">
        <f>SUMIFS('Nat Gas and Electricity'!$J:$J,'Nat Gas and Electricity'!$E:$E,"Sewer_Districts")</f>
        <v>164325</v>
      </c>
      <c r="D17" s="606">
        <f>SUMIFS('Nat Gas and Electricity'!$K:$K,'Nat Gas and Electricity'!$E:$E,"Sewer_Districts")</f>
        <v>16433.559999999998</v>
      </c>
      <c r="E17" s="604">
        <f>SUMIFS('Nat Gas and Electricity'!$M:$M,'Nat Gas and Electricity'!$E:$E,"Sewer_Districts")</f>
        <v>366</v>
      </c>
      <c r="F17" s="606">
        <f>SUMIFS('Nat Gas and Electricity'!$N:$N,'Nat Gas and Electricity'!$E:$E,"Sewer_Districts")</f>
        <v>1609.7199999999998</v>
      </c>
      <c r="G17" s="605">
        <f>SUMIFS('Nat Gas and Electricity'!$W:$W,'Nat Gas and Electricity'!$E:$E,"Sewer_Districts")</f>
        <v>48.873127474104379</v>
      </c>
      <c r="H17" s="510">
        <f>(C17*0.003412)+(E17*0.1)</f>
        <v>597.27690000000007</v>
      </c>
      <c r="I17" s="661">
        <f>D17+F17</f>
        <v>18043.28</v>
      </c>
    </row>
    <row r="18" spans="2:10">
      <c r="B18" s="614" t="s">
        <v>671</v>
      </c>
      <c r="C18" s="615">
        <f t="shared" ref="C18:I18" si="1">SUM(C14:C17)</f>
        <v>1787173</v>
      </c>
      <c r="D18" s="616">
        <f t="shared" si="1"/>
        <v>255609.53912579821</v>
      </c>
      <c r="E18" s="615">
        <f t="shared" si="1"/>
        <v>42215</v>
      </c>
      <c r="F18" s="616">
        <f t="shared" si="1"/>
        <v>25734.98</v>
      </c>
      <c r="G18" s="617">
        <f t="shared" si="1"/>
        <v>1685.8374338100746</v>
      </c>
      <c r="H18" s="617">
        <f t="shared" si="1"/>
        <v>23358.867345999999</v>
      </c>
      <c r="I18" s="662">
        <f t="shared" si="1"/>
        <v>571737.51912579825</v>
      </c>
    </row>
    <row r="20" spans="2:10">
      <c r="D20" s="490"/>
    </row>
    <row r="22" spans="2:10">
      <c r="J22" s="415"/>
    </row>
    <row r="23" spans="2:10">
      <c r="J23" s="415"/>
    </row>
    <row r="26" spans="2:10" ht="28">
      <c r="B26" s="450" t="s">
        <v>706</v>
      </c>
      <c r="C26" s="451" t="s">
        <v>628</v>
      </c>
      <c r="D26" s="451" t="s">
        <v>681</v>
      </c>
      <c r="E26" s="452" t="s">
        <v>635</v>
      </c>
      <c r="F26" s="452" t="s">
        <v>636</v>
      </c>
      <c r="G26" s="657" t="s">
        <v>632</v>
      </c>
      <c r="H26" s="452" t="s">
        <v>633</v>
      </c>
      <c r="I26" s="453" t="s">
        <v>634</v>
      </c>
    </row>
    <row r="27" spans="2:10">
      <c r="B27" s="610" t="s">
        <v>493</v>
      </c>
      <c r="C27" s="611">
        <f>SUMIFS('Nat Gas and Electricity'!$J:$J,'Nat Gas and Electricity'!$F:$F,"Admin Bldgs")</f>
        <v>490878</v>
      </c>
      <c r="D27" s="607">
        <f>SUMIFS('Nat Gas and Electricity'!$K:$K,'Nat Gas and Electricity'!$F:$F,"Admin Bldgs")</f>
        <v>26503.54</v>
      </c>
      <c r="E27" s="611">
        <f>SUMIFS('Nat Gas and Electricity'!$M:$M,'Nat Gas and Electricity'!$F:$F,"Admin Bldgs")</f>
        <v>18129</v>
      </c>
      <c r="F27" s="607">
        <f>SUMIFS('Nat Gas and Electricity'!$N:$N,'Nat Gas and Electricity'!$F:$F,"Admin Bldgs")</f>
        <v>11063.150000000001</v>
      </c>
      <c r="G27" s="658">
        <f>SUMIFS('Nat Gas and Electricity'!$W:$W,'Nat Gas and Electricity'!$F:$F,"Admin Bldgs")</f>
        <v>238.63567487576091</v>
      </c>
      <c r="H27" s="612">
        <f t="shared" ref="H27:H32" si="2">(C27*0.003412)+(E27*0.1)</f>
        <v>3487.7757360000001</v>
      </c>
      <c r="I27" s="613">
        <f t="shared" ref="I27:I32" si="3">D27+F27</f>
        <v>37566.69</v>
      </c>
    </row>
    <row r="28" spans="2:10">
      <c r="B28" s="506" t="s">
        <v>679</v>
      </c>
      <c r="C28" s="507">
        <f>SUMIFS('Nat Gas and Electricity'!$J:$J,'Nat Gas and Electricity'!$F:$F,"Hwy Garages")</f>
        <v>83548</v>
      </c>
      <c r="D28" s="519">
        <f>SUMIFS('Nat Gas and Electricity'!$K:$K,'Nat Gas and Electricity'!$F:$F,"Hwy Garages")</f>
        <v>5389.4999999999991</v>
      </c>
      <c r="E28" s="507">
        <f>SUMIFS('Nat Gas and Electricity'!$M:$M,'Nat Gas and Electricity'!$F:$F,"Hwy Garages")</f>
        <v>16863</v>
      </c>
      <c r="F28" s="519">
        <f>SUMIFS('Nat Gas and Electricity'!$N:$N,'Nat Gas and Electricity'!$F:$F,"Hwy Garages")</f>
        <v>7138.84</v>
      </c>
      <c r="G28" s="659">
        <f>SUMIFS('Nat Gas and Electricity'!$W:$W,'Nat Gas and Electricity'!$F:$F,"Hwy Garages")</f>
        <v>115.53769444985529</v>
      </c>
      <c r="H28" s="510">
        <f t="shared" si="2"/>
        <v>1971.3657760000001</v>
      </c>
      <c r="I28" s="511">
        <f t="shared" si="3"/>
        <v>12528.34</v>
      </c>
    </row>
    <row r="29" spans="2:10">
      <c r="B29" s="506" t="s">
        <v>376</v>
      </c>
      <c r="C29" s="507">
        <f>SUMIFS('Nat Gas and Electricity'!$J:$J,'Nat Gas and Electricity'!$F:$F,"Town Pools")</f>
        <v>148397</v>
      </c>
      <c r="D29" s="519">
        <f>SUMIFS('Nat Gas and Electricity'!$K:$K,'Nat Gas and Electricity'!$F:$F,"Town Pools")</f>
        <v>6066.03</v>
      </c>
      <c r="E29" s="507">
        <f>SUMIFS('Nat Gas and Electricity'!$M:$M,'Nat Gas and Electricity'!$F:$F,"Town Pools")</f>
        <v>2899</v>
      </c>
      <c r="F29" s="519">
        <f>SUMIFS('Nat Gas and Electricity'!$N:$N,'Nat Gas and Electricity'!$F:$F,"Town Pools")</f>
        <v>2803.67</v>
      </c>
      <c r="G29" s="659">
        <f>SUMIFS('Nat Gas and Electricity'!$W:$W,'Nat Gas and Electricity'!$F:$F,"Town Pools")</f>
        <v>58.1032361305259</v>
      </c>
      <c r="H29" s="510">
        <f t="shared" si="2"/>
        <v>796.23056400000007</v>
      </c>
      <c r="I29" s="511">
        <f t="shared" si="3"/>
        <v>8869.7000000000007</v>
      </c>
    </row>
    <row r="30" spans="2:10">
      <c r="B30" s="506" t="s">
        <v>3</v>
      </c>
      <c r="C30" s="507">
        <f>SUMIFS('Nat Gas and Electricity'!$J:$J,'Nat Gas and Electricity'!$F:$F,"Clifton Commons")</f>
        <v>125238</v>
      </c>
      <c r="D30" s="519">
        <f>SUMIFS('Nat Gas and Electricity'!$K:$K,'Nat Gas and Electricity'!$F:$F,"Clifton Commons")</f>
        <v>27879.460000000006</v>
      </c>
      <c r="E30" s="507">
        <f>SUMIFS('Nat Gas and Electricity'!$M:$M,'Nat Gas and Electricity'!$F:$F,"Clifton Commons")</f>
        <v>1532</v>
      </c>
      <c r="F30" s="519">
        <f>SUMIFS('Nat Gas and Electricity'!$N:$N,'Nat Gas and Electricity'!$F:$F,"Clifton Commons")</f>
        <v>816.81</v>
      </c>
      <c r="G30" s="659">
        <f>SUMIFS('Nat Gas and Electricity'!$W:$W,'Nat Gas and Electricity'!$F:$F,"Clifton Commons")</f>
        <v>44.062101016265835</v>
      </c>
      <c r="H30" s="510">
        <f t="shared" si="2"/>
        <v>580.51205600000003</v>
      </c>
      <c r="I30" s="511">
        <f t="shared" si="3"/>
        <v>28696.270000000008</v>
      </c>
    </row>
    <row r="31" spans="2:10">
      <c r="B31" s="506" t="s">
        <v>680</v>
      </c>
      <c r="C31" s="507">
        <f>SUMIFS('Nat Gas and Electricity'!$J:$J,'Nat Gas and Electricity'!$F:$F,"B&amp;G Garages")</f>
        <v>24321</v>
      </c>
      <c r="D31" s="519">
        <f>SUMIFS('Nat Gas and Electricity'!$K:$K,'Nat Gas and Electricity'!$F:$F,"B&amp;G Garages")</f>
        <v>1760.3199999999997</v>
      </c>
      <c r="E31" s="507">
        <f>SUMIFS('Nat Gas and Electricity'!$M:$M,'Nat Gas and Electricity'!$F:$F,"B&amp;G Garages")</f>
        <v>2426</v>
      </c>
      <c r="F31" s="519">
        <f>SUMIFS('Nat Gas and Electricity'!$N:$N,'Nat Gas and Electricity'!$F:$F,"B&amp;G Garages")</f>
        <v>2302.79</v>
      </c>
      <c r="G31" s="659">
        <f>SUMIFS('Nat Gas and Electricity'!$W:$W,'Nat Gas and Electricity'!$F:$F,"B&amp;G Garages")</f>
        <v>20.131502057080134</v>
      </c>
      <c r="H31" s="510">
        <f t="shared" si="2"/>
        <v>325.58325200000002</v>
      </c>
      <c r="I31" s="511">
        <f t="shared" si="3"/>
        <v>4063.1099999999997</v>
      </c>
    </row>
    <row r="32" spans="2:10">
      <c r="B32" s="506" t="s">
        <v>1</v>
      </c>
      <c r="C32" s="507">
        <f>SUMIFS('Nat Gas and Electricity'!$J:$J,'Nat Gas and Electricity'!$F:$F,"Town Parks")</f>
        <v>8141</v>
      </c>
      <c r="D32" s="519">
        <f>SUMIFS('Nat Gas and Electricity'!$K:$K,'Nat Gas and Electricity'!$F:$F,"Town Parks")</f>
        <v>1752.1000000000001</v>
      </c>
      <c r="E32" s="507">
        <f>SUMIFS('Nat Gas and Electricity'!$M:$M,'Nat Gas and Electricity'!$F:$F,"Town Parks")</f>
        <v>0</v>
      </c>
      <c r="F32" s="519">
        <f>SUMIFS('Nat Gas and Electricity'!$N:$N,'Nat Gas and Electricity'!$F:$F,"Town Parks")</f>
        <v>0</v>
      </c>
      <c r="G32" s="659">
        <f>SUMIFS('Nat Gas and Electricity'!$W:$W,'Nat Gas and Electricity'!$F:$F,"Town Parks")</f>
        <v>2.3226717379503046</v>
      </c>
      <c r="H32" s="510">
        <f t="shared" si="2"/>
        <v>27.777092</v>
      </c>
      <c r="I32" s="511">
        <f t="shared" si="3"/>
        <v>1752.1000000000001</v>
      </c>
    </row>
    <row r="33" spans="2:9">
      <c r="B33" s="614" t="s">
        <v>671</v>
      </c>
      <c r="C33" s="615">
        <f t="shared" ref="C33:I33" si="4">SUM(C27:C32)</f>
        <v>880523</v>
      </c>
      <c r="D33" s="616">
        <f t="shared" si="4"/>
        <v>69350.950000000012</v>
      </c>
      <c r="E33" s="615">
        <f t="shared" si="4"/>
        <v>41849</v>
      </c>
      <c r="F33" s="616">
        <f t="shared" si="4"/>
        <v>24125.260000000006</v>
      </c>
      <c r="G33" s="660">
        <f t="shared" si="4"/>
        <v>478.79288026743836</v>
      </c>
      <c r="H33" s="617">
        <f t="shared" si="4"/>
        <v>7189.2444760000017</v>
      </c>
      <c r="I33" s="618">
        <f t="shared" si="4"/>
        <v>93476.21</v>
      </c>
    </row>
    <row r="34" spans="2:9">
      <c r="B34" s="523"/>
      <c r="C34" s="507"/>
      <c r="D34" s="519"/>
      <c r="E34" s="507"/>
      <c r="F34" s="519"/>
      <c r="G34" s="520"/>
      <c r="H34" s="510"/>
      <c r="I34" s="508"/>
    </row>
    <row r="35" spans="2:9">
      <c r="B35" s="523"/>
      <c r="C35" s="507"/>
      <c r="D35" s="519"/>
      <c r="E35" s="507"/>
      <c r="F35" s="519"/>
      <c r="G35" s="520"/>
      <c r="H35" s="510"/>
      <c r="I35" s="508"/>
    </row>
    <row r="36" spans="2:9" ht="28">
      <c r="B36" s="450" t="s">
        <v>706</v>
      </c>
      <c r="C36" s="451" t="s">
        <v>628</v>
      </c>
      <c r="D36" s="451" t="s">
        <v>681</v>
      </c>
      <c r="E36" s="452" t="s">
        <v>635</v>
      </c>
      <c r="F36" s="452" t="s">
        <v>636</v>
      </c>
      <c r="G36" s="451" t="s">
        <v>632</v>
      </c>
      <c r="H36" s="452" t="s">
        <v>633</v>
      </c>
      <c r="I36" s="653" t="s">
        <v>634</v>
      </c>
    </row>
    <row r="37" spans="2:9">
      <c r="B37" s="506" t="s">
        <v>493</v>
      </c>
      <c r="C37" s="507">
        <f>SUMIFS('Nat Gas and Electricity'!$J:$J,'Nat Gas and Electricity'!$F:$F,"Admin Bldgs")</f>
        <v>490878</v>
      </c>
      <c r="D37" s="519">
        <f>SUMIFS('Nat Gas and Electricity'!$K:$K,'Nat Gas and Electricity'!$F:$F,"Admin Bldgs")</f>
        <v>26503.54</v>
      </c>
      <c r="E37" s="507">
        <f>SUMIFS('Nat Gas and Electricity'!$M:$M,'Nat Gas and Electricity'!$F:$F,"Admin Bldgs")</f>
        <v>18129</v>
      </c>
      <c r="F37" s="519">
        <f>SUMIFS('Nat Gas and Electricity'!$N:$N,'Nat Gas and Electricity'!$F:$F,"Admin Bldgs")</f>
        <v>11063.150000000001</v>
      </c>
      <c r="G37" s="520">
        <f>SUMIFS('Nat Gas and Electricity'!$W:$W,'Nat Gas and Electricity'!$F:$F,"Admin Bldgs")</f>
        <v>238.63567487576091</v>
      </c>
      <c r="H37" s="510">
        <f t="shared" ref="H37:H42" si="5">(C37*0.003412)+(E37*0.1)</f>
        <v>3487.7757360000001</v>
      </c>
      <c r="I37" s="654">
        <f t="shared" ref="I37:I42" si="6">D37+F37</f>
        <v>37566.69</v>
      </c>
    </row>
    <row r="38" spans="2:9">
      <c r="B38" s="506" t="s">
        <v>3</v>
      </c>
      <c r="C38" s="507">
        <f>SUMIFS('Nat Gas and Electricity'!$J:$J,'Nat Gas and Electricity'!$F:$F,"Clifton Commons")</f>
        <v>125238</v>
      </c>
      <c r="D38" s="519">
        <f>SUMIFS('Nat Gas and Electricity'!$K:$K,'Nat Gas and Electricity'!$F:$F,"Clifton Commons")</f>
        <v>27879.460000000006</v>
      </c>
      <c r="E38" s="507">
        <f>SUMIFS('Nat Gas and Electricity'!$M:$M,'Nat Gas and Electricity'!$F:$F,"Clifton Commons")</f>
        <v>1532</v>
      </c>
      <c r="F38" s="519">
        <f>SUMIFS('Nat Gas and Electricity'!$N:$N,'Nat Gas and Electricity'!$F:$F,"Clifton Commons")</f>
        <v>816.81</v>
      </c>
      <c r="G38" s="520">
        <f>SUMIFS('Nat Gas and Electricity'!$W:$W,'Nat Gas and Electricity'!$F:$F,"Clifton Commons")</f>
        <v>44.062101016265835</v>
      </c>
      <c r="H38" s="510">
        <f t="shared" si="5"/>
        <v>580.51205600000003</v>
      </c>
      <c r="I38" s="654">
        <f t="shared" si="6"/>
        <v>28696.270000000008</v>
      </c>
    </row>
    <row r="39" spans="2:9">
      <c r="B39" s="506" t="s">
        <v>679</v>
      </c>
      <c r="C39" s="507">
        <f>SUMIFS('Nat Gas and Electricity'!$J:$J,'Nat Gas and Electricity'!$F:$F,"Hwy Garages")</f>
        <v>83548</v>
      </c>
      <c r="D39" s="519">
        <f>SUMIFS('Nat Gas and Electricity'!$K:$K,'Nat Gas and Electricity'!$F:$F,"Hwy Garages")</f>
        <v>5389.4999999999991</v>
      </c>
      <c r="E39" s="507">
        <f>SUMIFS('Nat Gas and Electricity'!$M:$M,'Nat Gas and Electricity'!$F:$F,"Hwy Garages")</f>
        <v>16863</v>
      </c>
      <c r="F39" s="519">
        <f>SUMIFS('Nat Gas and Electricity'!$N:$N,'Nat Gas and Electricity'!$F:$F,"Hwy Garages")</f>
        <v>7138.84</v>
      </c>
      <c r="G39" s="520">
        <f>SUMIFS('Nat Gas and Electricity'!$W:$W,'Nat Gas and Electricity'!$F:$F,"Hwy Garages")</f>
        <v>115.53769444985529</v>
      </c>
      <c r="H39" s="510">
        <f t="shared" si="5"/>
        <v>1971.3657760000001</v>
      </c>
      <c r="I39" s="654">
        <f t="shared" si="6"/>
        <v>12528.34</v>
      </c>
    </row>
    <row r="40" spans="2:9">
      <c r="B40" s="506" t="s">
        <v>376</v>
      </c>
      <c r="C40" s="507">
        <f>SUMIFS('Nat Gas and Electricity'!$J:$J,'Nat Gas and Electricity'!$F:$F,"Town Pools")</f>
        <v>148397</v>
      </c>
      <c r="D40" s="519">
        <f>SUMIFS('Nat Gas and Electricity'!$K:$K,'Nat Gas and Electricity'!$F:$F,"Town Pools")</f>
        <v>6066.03</v>
      </c>
      <c r="E40" s="507">
        <f>SUMIFS('Nat Gas and Electricity'!$M:$M,'Nat Gas and Electricity'!$F:$F,"Town Pools")</f>
        <v>2899</v>
      </c>
      <c r="F40" s="519">
        <f>SUMIFS('Nat Gas and Electricity'!$N:$N,'Nat Gas and Electricity'!$F:$F,"Town Pools")</f>
        <v>2803.67</v>
      </c>
      <c r="G40" s="520">
        <f>SUMIFS('Nat Gas and Electricity'!$W:$W,'Nat Gas and Electricity'!$F:$F,"Town Pools")</f>
        <v>58.1032361305259</v>
      </c>
      <c r="H40" s="510">
        <f t="shared" si="5"/>
        <v>796.23056400000007</v>
      </c>
      <c r="I40" s="654">
        <f t="shared" si="6"/>
        <v>8869.7000000000007</v>
      </c>
    </row>
    <row r="41" spans="2:9">
      <c r="B41" s="506" t="s">
        <v>680</v>
      </c>
      <c r="C41" s="507">
        <f>SUMIFS('Nat Gas and Electricity'!$J:$J,'Nat Gas and Electricity'!$F:$F,"B&amp;G Garages")</f>
        <v>24321</v>
      </c>
      <c r="D41" s="519">
        <f>SUMIFS('Nat Gas and Electricity'!$K:$K,'Nat Gas and Electricity'!$F:$F,"B&amp;G Garages")</f>
        <v>1760.3199999999997</v>
      </c>
      <c r="E41" s="507">
        <f>SUMIFS('Nat Gas and Electricity'!$M:$M,'Nat Gas and Electricity'!$F:$F,"B&amp;G Garages")</f>
        <v>2426</v>
      </c>
      <c r="F41" s="519">
        <f>SUMIFS('Nat Gas and Electricity'!$N:$N,'Nat Gas and Electricity'!$F:$F,"B&amp;G Garages")</f>
        <v>2302.79</v>
      </c>
      <c r="G41" s="520">
        <f>SUMIFS('Nat Gas and Electricity'!$W:$W,'Nat Gas and Electricity'!$F:$F,"B&amp;G Garages")</f>
        <v>20.131502057080134</v>
      </c>
      <c r="H41" s="510">
        <f t="shared" si="5"/>
        <v>325.58325200000002</v>
      </c>
      <c r="I41" s="654">
        <f t="shared" si="6"/>
        <v>4063.1099999999997</v>
      </c>
    </row>
    <row r="42" spans="2:9">
      <c r="B42" s="512" t="s">
        <v>1</v>
      </c>
      <c r="C42" s="513">
        <f>SUMIFS('Nat Gas and Electricity'!$J:$J,'Nat Gas and Electricity'!$F:$F,"Town Parks")</f>
        <v>8141</v>
      </c>
      <c r="D42" s="521">
        <f>SUMIFS('Nat Gas and Electricity'!$K:$K,'Nat Gas and Electricity'!$F:$F,"Town Parks")</f>
        <v>1752.1000000000001</v>
      </c>
      <c r="E42" s="513">
        <f>SUMIFS('Nat Gas and Electricity'!$M:$M,'Nat Gas and Electricity'!$F:$F,"Town Parks")</f>
        <v>0</v>
      </c>
      <c r="F42" s="521">
        <f>SUMIFS('Nat Gas and Electricity'!$N:$N,'Nat Gas and Electricity'!$F:$F,"Town Parks")</f>
        <v>0</v>
      </c>
      <c r="G42" s="522">
        <f>SUMIFS('Nat Gas and Electricity'!$W:$W,'Nat Gas and Electricity'!$F:$F,"Town Parks")</f>
        <v>2.3226717379503046</v>
      </c>
      <c r="H42" s="517">
        <f t="shared" si="5"/>
        <v>27.777092</v>
      </c>
      <c r="I42" s="655">
        <f t="shared" si="6"/>
        <v>1752.1000000000001</v>
      </c>
    </row>
    <row r="43" spans="2:9">
      <c r="B43" s="614" t="s">
        <v>671</v>
      </c>
      <c r="C43" s="615">
        <f t="shared" ref="C43:I43" si="7">SUM(C37:C42)</f>
        <v>880523</v>
      </c>
      <c r="D43" s="616">
        <f t="shared" si="7"/>
        <v>69350.950000000012</v>
      </c>
      <c r="E43" s="615">
        <f t="shared" si="7"/>
        <v>41849</v>
      </c>
      <c r="F43" s="616">
        <f t="shared" si="7"/>
        <v>24125.260000000002</v>
      </c>
      <c r="G43" s="617">
        <f t="shared" si="7"/>
        <v>478.79288026743836</v>
      </c>
      <c r="H43" s="617">
        <f t="shared" si="7"/>
        <v>7189.2444760000008</v>
      </c>
      <c r="I43" s="656">
        <f t="shared" si="7"/>
        <v>93476.21</v>
      </c>
    </row>
    <row r="44" spans="2:9">
      <c r="B44" s="523"/>
      <c r="C44" s="507"/>
      <c r="D44" s="519"/>
      <c r="E44" s="507"/>
      <c r="F44" s="519"/>
      <c r="G44" s="520"/>
      <c r="H44" s="510"/>
      <c r="I44" s="508"/>
    </row>
    <row r="45" spans="2:9">
      <c r="B45" s="523"/>
      <c r="C45" s="507"/>
      <c r="D45" s="519"/>
      <c r="E45" s="507"/>
      <c r="F45" s="519"/>
      <c r="G45" s="520"/>
      <c r="H45" s="510"/>
      <c r="I45" s="508"/>
    </row>
    <row r="46" spans="2:9">
      <c r="B46" s="523"/>
      <c r="C46" s="507"/>
      <c r="D46" s="519"/>
      <c r="E46" s="507"/>
      <c r="F46" s="519"/>
      <c r="G46" s="520"/>
      <c r="H46" s="510"/>
      <c r="I46" s="508"/>
    </row>
    <row r="47" spans="2:9" ht="42">
      <c r="B47" s="620" t="s">
        <v>707</v>
      </c>
      <c r="C47" s="621" t="s">
        <v>628</v>
      </c>
      <c r="D47" s="621" t="s">
        <v>681</v>
      </c>
      <c r="E47" s="621" t="s">
        <v>635</v>
      </c>
      <c r="F47" s="621" t="s">
        <v>636</v>
      </c>
      <c r="G47" s="647" t="s">
        <v>682</v>
      </c>
      <c r="H47" s="621" t="s">
        <v>633</v>
      </c>
      <c r="I47" s="621" t="s">
        <v>634</v>
      </c>
    </row>
    <row r="48" spans="2:9" ht="15" thickBot="1">
      <c r="B48" s="5" t="s">
        <v>631</v>
      </c>
      <c r="C48" s="441">
        <f>SUMIFS('Nat Gas and Electricity'!$J:$J,'Nat Gas and Electricity'!$G:$G,"N/A")</f>
        <v>906758</v>
      </c>
      <c r="D48" s="442">
        <f>SUMIFS('Nat Gas and Electricity'!$K:$K,'Nat Gas and Electricity'!$G:$G,"N/A")</f>
        <v>186514.10912579828</v>
      </c>
      <c r="E48" s="5">
        <f>SUMIFS('Nat Gas and Electricity'!$M:$M,'Nat Gas and Electricity'!$G:$G,"N/A")</f>
        <v>366</v>
      </c>
      <c r="F48" s="442">
        <f>SUMIFS('Nat Gas and Electricity'!$N:$N,'Nat Gas and Electricity'!$G:$G,"N/A")</f>
        <v>1609.7199999999998</v>
      </c>
      <c r="G48" s="648">
        <f>SUMIFS('Nat Gas and Electricity'!$W:$W,'Nat Gas and Electricity'!$G:$G,"N/A")</f>
        <v>260.69331497215853</v>
      </c>
      <c r="H48" s="529">
        <f t="shared" ref="H48:H72" si="8">(C48*0.003412)+(E48*0.1)</f>
        <v>3130.4582959999998</v>
      </c>
      <c r="I48" s="445">
        <f>Table22[[#This Row],[Electricity Cost ($/yr)]]+Table22[[#This Row],[Nat. Gas Cost ($/yr)]]</f>
        <v>188123.82912579828</v>
      </c>
    </row>
    <row r="49" spans="1:9">
      <c r="A49" s="432">
        <v>1</v>
      </c>
      <c r="B49" s="533" t="s">
        <v>488</v>
      </c>
      <c r="C49" s="534">
        <f>SUMIFS('Nat Gas and Electricity'!$J:$J,'Nat Gas and Electricity'!$G:$G,"Hwy Main Bldg")</f>
        <v>79640</v>
      </c>
      <c r="D49" s="535">
        <f>SUMIFS('Nat Gas and Electricity'!$K:$K,'Nat Gas and Electricity'!$G:$G,"Hwy Main Bldg")</f>
        <v>4879.4999999999991</v>
      </c>
      <c r="E49" s="536">
        <f>SUMIFS('Nat Gas and Electricity'!$M:$M,'Nat Gas and Electricity'!$G:$G,"Hwy Main Bldg")</f>
        <v>12763</v>
      </c>
      <c r="F49" s="535">
        <f>SUMIFS('Nat Gas and Electricity'!$N:$N,'Nat Gas and Electricity'!$G:$G,"Hwy Main Bldg")</f>
        <v>3506.89</v>
      </c>
      <c r="G49" s="649">
        <f>SUMIFS('Nat Gas and Electricity'!$W:$W,'Nat Gas and Electricity'!$G:$G,"Hwy Main Bldg")</f>
        <v>92.126920717892418</v>
      </c>
      <c r="H49" s="529">
        <f t="shared" si="8"/>
        <v>1548.0316800000001</v>
      </c>
      <c r="I49" s="445">
        <f>Table22[[#This Row],[Electricity Cost ($/yr)]]+Table22[[#This Row],[Nat. Gas Cost ($/yr)]]</f>
        <v>8386.39</v>
      </c>
    </row>
    <row r="50" spans="1:9">
      <c r="A50" s="432">
        <v>2</v>
      </c>
      <c r="B50" s="537" t="s">
        <v>373</v>
      </c>
      <c r="C50" s="538">
        <f>SUMIFS('Nat Gas and Electricity'!$J:$J,'Nat Gas and Electricity'!$G:$G,"Public Safety Bldg")</f>
        <v>180969</v>
      </c>
      <c r="D50" s="496">
        <f>SUMIFS('Nat Gas and Electricity'!$K:$K,'Nat Gas and Electricity'!$G:$G,"Public Safety Bldg")</f>
        <v>8726.16</v>
      </c>
      <c r="E50" s="3">
        <f>SUMIFS('Nat Gas and Electricity'!$M:$M,'Nat Gas and Electricity'!$G:$G,"Public Safety Bldg")</f>
        <v>6083</v>
      </c>
      <c r="F50" s="496">
        <f>SUMIFS('Nat Gas and Electricity'!$N:$N,'Nat Gas and Electricity'!$G:$G,"Public Safety Bldg")</f>
        <v>3175.4</v>
      </c>
      <c r="G50" s="650">
        <f>SUMIFS('Nat Gas and Electricity'!$W:$W,'Nat Gas and Electricity'!$G:$G,"Public Safety Bldg")</f>
        <v>84.710797525995417</v>
      </c>
      <c r="H50" s="529">
        <f t="shared" si="8"/>
        <v>1225.766228</v>
      </c>
      <c r="I50" s="445">
        <f>Table22[[#This Row],[Electricity Cost ($/yr)]]+Table22[[#This Row],[Nat. Gas Cost ($/yr)]]</f>
        <v>11901.56</v>
      </c>
    </row>
    <row r="51" spans="1:9">
      <c r="A51" s="432">
        <v>3</v>
      </c>
      <c r="B51" s="537" t="s">
        <v>367</v>
      </c>
      <c r="C51" s="538">
        <f>SUMIFS('Nat Gas and Electricity'!$J:$J,'Nat Gas and Electricity'!$G:$G,"Town Hall")</f>
        <v>181155</v>
      </c>
      <c r="D51" s="496">
        <f>SUMIFS('Nat Gas and Electricity'!$K:$K,'Nat Gas and Electricity'!$G:$G,"Town Hall")</f>
        <v>8422.840000000002</v>
      </c>
      <c r="E51" s="3">
        <f>SUMIFS('Nat Gas and Electricity'!$M:$M,'Nat Gas and Electricity'!$G:$G,"Town Hall")</f>
        <v>3858</v>
      </c>
      <c r="F51" s="496">
        <f>SUMIFS('Nat Gas and Electricity'!$N:$N,'Nat Gas and Electricity'!$G:$G,"Town Hall")</f>
        <v>3706.3200000000006</v>
      </c>
      <c r="G51" s="650">
        <f>SUMIFS('Nat Gas and Electricity'!$W:$W,'Nat Gas and Electricity'!$G:$G,"Town Hall")</f>
        <v>72.664314341283301</v>
      </c>
      <c r="H51" s="529">
        <f t="shared" si="8"/>
        <v>1003.90086</v>
      </c>
      <c r="I51" s="445">
        <f>Table22[[#This Row],[Electricity Cost ($/yr)]]+Table22[[#This Row],[Nat. Gas Cost ($/yr)]]</f>
        <v>12129.160000000003</v>
      </c>
    </row>
    <row r="52" spans="1:9">
      <c r="A52" s="432">
        <v>4</v>
      </c>
      <c r="B52" s="537" t="s">
        <v>372</v>
      </c>
      <c r="C52" s="538">
        <f>SUMIFS('Nat Gas and Electricity'!$J:$J,'Nat Gas and Electricity'!$G:$G,"Senior Center")</f>
        <v>105680</v>
      </c>
      <c r="D52" s="496">
        <f>SUMIFS('Nat Gas and Electricity'!$K:$K,'Nat Gas and Electricity'!$G:$G,"Senior Center")</f>
        <v>6148.17</v>
      </c>
      <c r="E52" s="3">
        <f>SUMIFS('Nat Gas and Electricity'!$M:$M,'Nat Gas and Electricity'!$G:$G,"Senior Center")</f>
        <v>4963</v>
      </c>
      <c r="F52" s="496">
        <f>SUMIFS('Nat Gas and Electricity'!$N:$N,'Nat Gas and Electricity'!$G:$G,"Senior Center")</f>
        <v>1720.4100000000003</v>
      </c>
      <c r="G52" s="650">
        <f>SUMIFS('Nat Gas and Electricity'!$W:$W,'Nat Gas and Electricity'!$G:$G,"Senior Center")</f>
        <v>57.139874858197786</v>
      </c>
      <c r="H52" s="529">
        <f t="shared" si="8"/>
        <v>856.88016000000005</v>
      </c>
      <c r="I52" s="445">
        <f>Table22[[#This Row],[Electricity Cost ($/yr)]]+Table22[[#This Row],[Nat. Gas Cost ($/yr)]]</f>
        <v>7868.58</v>
      </c>
    </row>
    <row r="53" spans="1:9">
      <c r="A53" s="432">
        <v>5</v>
      </c>
      <c r="B53" s="537" t="s">
        <v>351</v>
      </c>
      <c r="C53" s="538">
        <f>SUMIFS('Nat Gas and Electricity'!$J:$J,'Nat Gas and Electricity'!$G:$G,"Barney Rd Pool")</f>
        <v>98471</v>
      </c>
      <c r="D53" s="496">
        <f>SUMIFS('Nat Gas and Electricity'!$K:$K,'Nat Gas and Electricity'!$G:$G,"Barney Rd Pool")</f>
        <v>3329.23</v>
      </c>
      <c r="E53" s="3">
        <f>SUMIFS('Nat Gas and Electricity'!$M:$M,'Nat Gas and Electricity'!$G:$G,"Barney Rd Pool")</f>
        <v>0</v>
      </c>
      <c r="F53" s="496">
        <f>SUMIFS('Nat Gas and Electricity'!$N:$N,'Nat Gas and Electricity'!$G:$G,"Barney Rd Pool")</f>
        <v>0</v>
      </c>
      <c r="G53" s="650">
        <f>SUMIFS('Nat Gas and Electricity'!$W:$W,'Nat Gas and Electricity'!$G:$G,"Barney Rd Pool")</f>
        <v>28.094313807604031</v>
      </c>
      <c r="H53" s="529">
        <f t="shared" si="8"/>
        <v>335.98305199999999</v>
      </c>
      <c r="I53" s="445">
        <f>Table22[[#This Row],[Electricity Cost ($/yr)]]+Table22[[#This Row],[Nat. Gas Cost ($/yr)]]</f>
        <v>3329.23</v>
      </c>
    </row>
    <row r="54" spans="1:9">
      <c r="A54" s="432">
        <v>6</v>
      </c>
      <c r="B54" s="537" t="s">
        <v>483</v>
      </c>
      <c r="C54" s="538">
        <f>SUMIFS('Nat Gas and Electricity'!$J:$J,'Nat Gas and Electricity'!$G:$G,"Locust Lane Pool")</f>
        <v>49926</v>
      </c>
      <c r="D54" s="496">
        <f>SUMIFS('Nat Gas and Electricity'!$K:$K,'Nat Gas and Electricity'!$G:$G,"Locust Lane Pool")</f>
        <v>2736.7999999999997</v>
      </c>
      <c r="E54" s="3">
        <f>SUMIFS('Nat Gas and Electricity'!$M:$M,'Nat Gas and Electricity'!$G:$G,"Locust Lane Pool")</f>
        <v>2412</v>
      </c>
      <c r="F54" s="496">
        <f>SUMIFS('Nat Gas and Electricity'!$N:$N,'Nat Gas and Electricity'!$G:$G,"Locust Lane Pool")</f>
        <v>2352.98</v>
      </c>
      <c r="G54" s="650">
        <f>SUMIFS('Nat Gas and Electricity'!$W:$W,'Nat Gas and Electricity'!$G:$G,"Locust Lane Pool")</f>
        <v>27.360616322921867</v>
      </c>
      <c r="H54" s="529">
        <f t="shared" si="8"/>
        <v>411.54751199999998</v>
      </c>
      <c r="I54" s="445">
        <f>Table22[[#This Row],[Electricity Cost ($/yr)]]+Table22[[#This Row],[Nat. Gas Cost ($/yr)]]</f>
        <v>5089.78</v>
      </c>
    </row>
    <row r="55" spans="1:9">
      <c r="A55" s="432">
        <v>7</v>
      </c>
      <c r="B55" s="537" t="s">
        <v>487</v>
      </c>
      <c r="C55" s="538">
        <f>SUMIFS('Nat Gas and Electricity'!$J:$J,'Nat Gas and Electricity'!$G:$G,"Hwy Storage Bldg")</f>
        <v>3908</v>
      </c>
      <c r="D55" s="496">
        <f>SUMIFS('Nat Gas and Electricity'!$K:$K,'Nat Gas and Electricity'!$G:$G,"Hwy Storage Bldg")</f>
        <v>510</v>
      </c>
      <c r="E55" s="3">
        <f>SUMIFS('Nat Gas and Electricity'!$M:$M,'Nat Gas and Electricity'!$G:$G,"Hwy Storage Bldg")</f>
        <v>4100</v>
      </c>
      <c r="F55" s="496">
        <f>SUMIFS('Nat Gas and Electricity'!$N:$N,'Nat Gas and Electricity'!$G:$G,"Hwy Storage Bldg")</f>
        <v>3631.9500000000003</v>
      </c>
      <c r="G55" s="650">
        <f>SUMIFS('Nat Gas and Electricity'!$W:$W,'Nat Gas and Electricity'!$G:$G,"Hwy Storage Bldg")</f>
        <v>23.410773731962877</v>
      </c>
      <c r="H55" s="529">
        <f t="shared" si="8"/>
        <v>423.33409599999999</v>
      </c>
      <c r="I55" s="445">
        <f>Table22[[#This Row],[Electricity Cost ($/yr)]]+Table22[[#This Row],[Nat. Gas Cost ($/yr)]]</f>
        <v>4141.9500000000007</v>
      </c>
    </row>
    <row r="56" spans="1:9">
      <c r="A56" s="432">
        <v>8</v>
      </c>
      <c r="B56" s="537" t="s">
        <v>374</v>
      </c>
      <c r="C56" s="538">
        <f>SUMIFS('Nat Gas and Electricity'!$J:$J,'Nat Gas and Electricity'!$G:$G,"Grooms Tavern")</f>
        <v>6679</v>
      </c>
      <c r="D56" s="496">
        <f>SUMIFS('Nat Gas and Electricity'!$K:$K,'Nat Gas and Electricity'!$G:$G,"Grooms Tavern")</f>
        <v>561.9</v>
      </c>
      <c r="E56" s="3">
        <f>SUMIFS('Nat Gas and Electricity'!$M:$M,'Nat Gas and Electricity'!$G:$G,"Grooms Tavern")</f>
        <v>3225</v>
      </c>
      <c r="F56" s="496">
        <f>SUMIFS('Nat Gas and Electricity'!$N:$N,'Nat Gas and Electricity'!$G:$G,"Grooms Tavern")</f>
        <v>2461.02</v>
      </c>
      <c r="G56" s="650">
        <f>SUMIFS('Nat Gas and Electricity'!$W:$W,'Nat Gas and Electricity'!$G:$G,"Grooms Tavern")</f>
        <v>19.443105157569107</v>
      </c>
      <c r="H56" s="529">
        <f t="shared" si="8"/>
        <v>345.288748</v>
      </c>
      <c r="I56" s="445">
        <f>Table22[[#This Row],[Electricity Cost ($/yr)]]+Table22[[#This Row],[Nat. Gas Cost ($/yr)]]</f>
        <v>3022.92</v>
      </c>
    </row>
    <row r="57" spans="1:9">
      <c r="A57" s="432">
        <v>9</v>
      </c>
      <c r="B57" s="537" t="s">
        <v>489</v>
      </c>
      <c r="C57" s="538">
        <f>SUMIFS('Nat Gas and Electricity'!$J:$J,'Nat Gas and Electricity'!$G:$G,"B&amp;G Auto/Maint Bldg")</f>
        <v>24321</v>
      </c>
      <c r="D57" s="496">
        <f>SUMIFS('Nat Gas and Electricity'!$K:$K,'Nat Gas and Electricity'!$G:$G,"B&amp;G Auto/Maint Bldg")</f>
        <v>1760.3199999999997</v>
      </c>
      <c r="E57" s="3">
        <f>SUMIFS('Nat Gas and Electricity'!$M:$M,'Nat Gas and Electricity'!$G:$G,"B&amp;G Auto/Maint Bldg")</f>
        <v>1749</v>
      </c>
      <c r="F57" s="496">
        <f>SUMIFS('Nat Gas and Electricity'!$N:$N,'Nat Gas and Electricity'!$G:$G,"B&amp;G Auto/Maint Bldg")</f>
        <v>1781.79</v>
      </c>
      <c r="G57" s="650">
        <f>SUMIFS('Nat Gas and Electricity'!$W:$W,'Nat Gas and Electricity'!$G:$G,"B&amp;G Auto/Maint Bldg")</f>
        <v>16.449976057080132</v>
      </c>
      <c r="H57" s="529">
        <f t="shared" si="8"/>
        <v>257.88325200000003</v>
      </c>
      <c r="I57" s="445">
        <f>Table22[[#This Row],[Electricity Cost ($/yr)]]+Table22[[#This Row],[Nat. Gas Cost ($/yr)]]</f>
        <v>3542.1099999999997</v>
      </c>
    </row>
    <row r="58" spans="1:9" ht="15" thickBot="1">
      <c r="A58" s="432">
        <v>10</v>
      </c>
      <c r="B58" s="539" t="s">
        <v>8</v>
      </c>
      <c r="C58" s="540">
        <f>SUMIFS('Nat Gas and Electricity'!$J:$J,'Nat Gas and Electricity'!$G:$G,"C/C Soccer Facility")</f>
        <v>24935</v>
      </c>
      <c r="D58" s="541">
        <f>SUMIFS('Nat Gas and Electricity'!$K:$K,'Nat Gas and Electricity'!$G:$G,"C/C Soccer Facility")</f>
        <v>6618.1900000000005</v>
      </c>
      <c r="E58" s="542">
        <f>SUMIFS('Nat Gas and Electricity'!$M:$M,'Nat Gas and Electricity'!$G:$G,"C/C Soccer Facility")</f>
        <v>1532</v>
      </c>
      <c r="F58" s="541">
        <f>SUMIFS('Nat Gas and Electricity'!$N:$N,'Nat Gas and Electricity'!$G:$G,"C/C Soccer Facility")</f>
        <v>816.81</v>
      </c>
      <c r="G58" s="651">
        <f>SUMIFS('Nat Gas and Electricity'!$W:$W,'Nat Gas and Electricity'!$G:$G,"C/C Soccer Facility")</f>
        <v>15.445107608621896</v>
      </c>
      <c r="H58" s="529">
        <f t="shared" si="8"/>
        <v>238.27822000000003</v>
      </c>
      <c r="I58" s="445">
        <f>Table22[[#This Row],[Electricity Cost ($/yr)]]+Table22[[#This Row],[Nat. Gas Cost ($/yr)]]</f>
        <v>7435</v>
      </c>
    </row>
    <row r="59" spans="1:9">
      <c r="A59" s="432">
        <v>11</v>
      </c>
      <c r="B59" s="5" t="s">
        <v>7</v>
      </c>
      <c r="C59" s="441">
        <f>SUMIFS('Nat Gas and Electricity'!$J:$J,'Nat Gas and Electricity'!$G:$G,"C/C Little League Facility")</f>
        <v>39680</v>
      </c>
      <c r="D59" s="442">
        <f>SUMIFS('Nat Gas and Electricity'!$K:$K,'Nat Gas and Electricity'!$G:$G,"C/C Little League Facility")</f>
        <v>13623.43</v>
      </c>
      <c r="E59" s="5">
        <f>SUMIFS('Nat Gas and Electricity'!$M:$M,'Nat Gas and Electricity'!$G:$G,"BC/C Little League Facility")</f>
        <v>0</v>
      </c>
      <c r="F59" s="442">
        <f>SUMIFS('Nat Gas and Electricity'!$N:$N,'Nat Gas and Electricity'!$G:$G,"C/C Little League Facility")</f>
        <v>0</v>
      </c>
      <c r="G59" s="648">
        <f>SUMIFS('Nat Gas and Electricity'!$W:$W,'Nat Gas and Electricity'!$G:$G,"C/C Little League Facility")</f>
        <v>11.320920594751023</v>
      </c>
      <c r="H59" s="529">
        <f t="shared" si="8"/>
        <v>135.38816</v>
      </c>
      <c r="I59" s="445">
        <f>Table22[[#This Row],[Electricity Cost ($/yr)]]+Table22[[#This Row],[Nat. Gas Cost ($/yr)]]</f>
        <v>13623.43</v>
      </c>
    </row>
    <row r="60" spans="1:9">
      <c r="A60" s="432">
        <v>12</v>
      </c>
      <c r="B60" s="3" t="s">
        <v>11</v>
      </c>
      <c r="C60" s="538">
        <f>SUMIFS('Nat Gas and Electricity'!$J:$J,'Nat Gas and Electricity'!$G:$G,"C/C Softball Facility")</f>
        <v>34308</v>
      </c>
      <c r="D60" s="496">
        <f>SUMIFS('Nat Gas and Electricity'!$K:$K,'Nat Gas and Electricity'!$G:$G,"C/C Softball Facility")</f>
        <v>4860.8700000000008</v>
      </c>
      <c r="E60" s="3">
        <f>SUMIFS('Nat Gas and Electricity'!$M:$M,'Nat Gas and Electricity'!$G:$G,"C/C Softball Facility")</f>
        <v>0</v>
      </c>
      <c r="F60" s="496">
        <f>SUMIFS('Nat Gas and Electricity'!$N:$N,'Nat Gas and Electricity'!$G:$G,"C/C Softball Facility")</f>
        <v>0</v>
      </c>
      <c r="G60" s="652">
        <f>SUMIFS('Nat Gas and Electricity'!$W:$W,'Nat Gas and Electricity'!$G:$G,"C/C Softball Facility")</f>
        <v>9.7882596714898717</v>
      </c>
      <c r="H60" s="529">
        <f t="shared" si="8"/>
        <v>117.058896</v>
      </c>
      <c r="I60" s="445">
        <f>Table22[[#This Row],[Electricity Cost ($/yr)]]+Table22[[#This Row],[Nat. Gas Cost ($/yr)]]</f>
        <v>4860.8700000000008</v>
      </c>
    </row>
    <row r="61" spans="1:9">
      <c r="A61" s="432">
        <v>13</v>
      </c>
      <c r="B61" s="5" t="s">
        <v>417</v>
      </c>
      <c r="C61" s="441">
        <f>SUMIFS('Nat Gas and Electricity'!$J:$J,'Nat Gas and Electricity'!$G:$G,"Transfer Station")</f>
        <v>16395</v>
      </c>
      <c r="D61" s="442">
        <f>SUMIFS('Nat Gas and Electricity'!$K:$K,'Nat Gas and Electricity'!$G:$G,"Transfer Station")</f>
        <v>2395.83</v>
      </c>
      <c r="E61" s="5">
        <f>SUMIFS('Nat Gas and Electricity'!$M:$M,'Nat Gas and Electricity'!$G:$G,"Transfer Station")</f>
        <v>0</v>
      </c>
      <c r="F61" s="442">
        <f>SUMIFS('Nat Gas and Electricity'!$N:$N,'Nat Gas and Electricity'!$G:$G,"Transfer Station")</f>
        <v>0</v>
      </c>
      <c r="G61" s="648">
        <f>SUMIFS('Nat Gas and Electricity'!$W:$W,'Nat Gas and Electricity'!$G:$G,"Transfer Station")</f>
        <v>4.6775829927152976</v>
      </c>
      <c r="H61" s="529">
        <f t="shared" si="8"/>
        <v>55.93974</v>
      </c>
      <c r="I61" s="445">
        <f>Table22[[#This Row],[Electricity Cost ($/yr)]]+Table22[[#This Row],[Nat. Gas Cost ($/yr)]]</f>
        <v>2395.83</v>
      </c>
    </row>
    <row r="62" spans="1:9">
      <c r="A62" s="432">
        <v>14</v>
      </c>
      <c r="B62" s="5" t="s">
        <v>482</v>
      </c>
      <c r="C62" s="441">
        <f>SUMIFS('Nat Gas and Electricity'!$J:$J,'Nat Gas and Electricity'!$G:$G,"B&amp;G Workshop")</f>
        <v>0</v>
      </c>
      <c r="D62" s="442">
        <f>SUMIFS('Nat Gas and Electricity'!$K:$K,'Nat Gas and Electricity'!$G:$G,"B&amp;G Workshop")</f>
        <v>0</v>
      </c>
      <c r="E62" s="5">
        <f>SUMIFS('Nat Gas and Electricity'!$M:$M,'Nat Gas and Electricity'!$G:$G,"B&amp;G Workshop")</f>
        <v>677</v>
      </c>
      <c r="F62" s="442">
        <f>SUMIFS('Nat Gas and Electricity'!$N:$N,'Nat Gas and Electricity'!$G:$G,"B&amp;G Workshop")</f>
        <v>520.99999999999989</v>
      </c>
      <c r="G62" s="648">
        <f>SUMIFS('Nat Gas and Electricity'!$W:$W,'Nat Gas and Electricity'!$G:$G,"B&amp;G Workshop")</f>
        <v>3.6815260000000003</v>
      </c>
      <c r="H62" s="529">
        <f t="shared" si="8"/>
        <v>67.7</v>
      </c>
      <c r="I62" s="445">
        <f>Table22[[#This Row],[Electricity Cost ($/yr)]]+Table22[[#This Row],[Nat. Gas Cost ($/yr)]]</f>
        <v>520.99999999999989</v>
      </c>
    </row>
    <row r="63" spans="1:9">
      <c r="A63" s="432">
        <v>15</v>
      </c>
      <c r="B63" s="5" t="s">
        <v>9</v>
      </c>
      <c r="C63" s="441">
        <f>SUMIFS('Nat Gas and Electricity'!$J:$J,'Nat Gas and Electricity'!$G:$G,"C/C Baseball Facility")</f>
        <v>10612</v>
      </c>
      <c r="D63" s="442">
        <f>SUMIFS('Nat Gas and Electricity'!$K:$K,'Nat Gas and Electricity'!$G:$G,"C/C Baseball Facility")</f>
        <v>896.26999999999987</v>
      </c>
      <c r="E63" s="5">
        <f>SUMIFS('Nat Gas and Electricity'!$M:$M,'Nat Gas and Electricity'!$G:$G,"C/C Baseball Facility")</f>
        <v>0</v>
      </c>
      <c r="F63" s="442">
        <f>SUMIFS('Nat Gas and Electricity'!$N:$N,'Nat Gas and Electricity'!$G:$G,"C/C Baseball Facility")</f>
        <v>0</v>
      </c>
      <c r="G63" s="648">
        <f>SUMIFS('Nat Gas and Electricity'!$W:$W,'Nat Gas and Electricity'!$G:$G,"C/C Baseball Facility")</f>
        <v>3.0276615259954096</v>
      </c>
      <c r="H63" s="529">
        <f t="shared" si="8"/>
        <v>36.208144000000004</v>
      </c>
      <c r="I63" s="445">
        <f>Table22[[#This Row],[Electricity Cost ($/yr)]]+Table22[[#This Row],[Nat. Gas Cost ($/yr)]]</f>
        <v>896.26999999999987</v>
      </c>
    </row>
    <row r="64" spans="1:9">
      <c r="A64" s="432">
        <v>16</v>
      </c>
      <c r="B64" s="5" t="s">
        <v>490</v>
      </c>
      <c r="C64" s="441">
        <f>SUMIFS('Nat Gas and Electricity'!$J:$J,'Nat Gas and Electricity'!$G:$G,"C/C Garage")</f>
        <v>9759</v>
      </c>
      <c r="D64" s="442">
        <f>SUMIFS('Nat Gas and Electricity'!$K:$K,'Nat Gas and Electricity'!$G:$G,"C/C Garage")</f>
        <v>868.21</v>
      </c>
      <c r="E64" s="5">
        <f>SUMIFS('Nat Gas and Electricity'!$M:$M,'Nat Gas and Electricity'!$G:$G,"C/C Garage")</f>
        <v>0</v>
      </c>
      <c r="F64" s="442">
        <f>SUMIFS('Nat Gas and Electricity'!$N:$N,'Nat Gas and Electricity'!$G:$G,"C/C Garage")</f>
        <v>0</v>
      </c>
      <c r="G64" s="648">
        <f>SUMIFS('Nat Gas and Electricity'!$W:$W,'Nat Gas and Electricity'!$G:$G,"C/C Garage")</f>
        <v>2.7842959698632872</v>
      </c>
      <c r="H64" s="529">
        <f t="shared" si="8"/>
        <v>33.297708</v>
      </c>
      <c r="I64" s="445">
        <f>Table22[[#This Row],[Electricity Cost ($/yr)]]+Table22[[#This Row],[Nat. Gas Cost ($/yr)]]</f>
        <v>868.21</v>
      </c>
    </row>
    <row r="65" spans="1:23">
      <c r="A65" s="432">
        <v>17</v>
      </c>
      <c r="B65" s="3" t="s">
        <v>485</v>
      </c>
      <c r="C65" s="538">
        <f>SUMIFS('Nat Gas and Electricity'!$J:$J,'Nat Gas and Electricity'!$G:$G,"Burning Bush Pool")</f>
        <v>0</v>
      </c>
      <c r="D65" s="496">
        <f>SUMIFS('Nat Gas and Electricity'!$K:$K,'Nat Gas and Electricity'!$G:$G,"Burning Bush Pool")</f>
        <v>0</v>
      </c>
      <c r="E65" s="3">
        <f>SUMIFS('Nat Gas and Electricity'!$M:$M,'Nat Gas and Electricity'!$G:$G,"Burning Bush Pool")</f>
        <v>487</v>
      </c>
      <c r="F65" s="496">
        <f>SUMIFS('Nat Gas and Electricity'!$N:$N,'Nat Gas and Electricity'!$G:$G,"Burning Bush Pool")</f>
        <v>450.68999999999994</v>
      </c>
      <c r="G65" s="652">
        <f>SUMIFS('Nat Gas and Electricity'!$W:$W,'Nat Gas and Electricity'!$G:$G,"Burning Bush Pool")</f>
        <v>2.6483060000000003</v>
      </c>
      <c r="H65" s="529">
        <f t="shared" si="8"/>
        <v>48.7</v>
      </c>
      <c r="I65" s="445">
        <f>Table22[[#This Row],[Electricity Cost ($/yr)]]+Table22[[#This Row],[Nat. Gas Cost ($/yr)]]</f>
        <v>450.68999999999994</v>
      </c>
    </row>
    <row r="66" spans="1:23">
      <c r="A66" s="432">
        <v>18</v>
      </c>
      <c r="B66" s="5" t="s">
        <v>10</v>
      </c>
      <c r="C66" s="441">
        <f>SUMIFS('Nat Gas and Electricity'!$J:$J,'Nat Gas and Electricity'!$G:$G,"C/C Stage")</f>
        <v>4800</v>
      </c>
      <c r="D66" s="442">
        <f>SUMIFS('Nat Gas and Electricity'!$K:$K,'Nat Gas and Electricity'!$G:$G,"C/C Stage")</f>
        <v>608.54</v>
      </c>
      <c r="E66" s="5">
        <f>SUMIFS('Nat Gas and Electricity'!$M:$M,'Nat Gas and Electricity'!$G:$G,"C/C Stage")</f>
        <v>0</v>
      </c>
      <c r="F66" s="442">
        <f>SUMIFS('Nat Gas and Electricity'!$N:$N,'Nat Gas and Electricity'!$G:$G,"C/C Stage")</f>
        <v>0</v>
      </c>
      <c r="G66" s="648">
        <f>SUMIFS('Nat Gas and Electricity'!$W:$W,'Nat Gas and Electricity'!$G:$G,"C/C Stage")</f>
        <v>1.3694662009779466</v>
      </c>
      <c r="H66" s="529">
        <f t="shared" si="8"/>
        <v>16.377600000000001</v>
      </c>
      <c r="I66" s="445">
        <f>Table22[[#This Row],[Electricity Cost ($/yr)]]+Table22[[#This Row],[Nat. Gas Cost ($/yr)]]</f>
        <v>608.54</v>
      </c>
    </row>
    <row r="67" spans="1:23">
      <c r="A67" s="432">
        <v>19</v>
      </c>
      <c r="B67" s="5" t="s">
        <v>484</v>
      </c>
      <c r="C67" s="441">
        <f>SUMIFS('Nat Gas and Electricity'!$J:$J,'Nat Gas and Electricity'!$G:$G,"Dog Park")</f>
        <v>3213</v>
      </c>
      <c r="D67" s="442">
        <f>SUMIFS('Nat Gas and Electricity'!$K:$K,'Nat Gas and Electricity'!$G:$G,"Dog Park")</f>
        <v>694.71</v>
      </c>
      <c r="E67" s="5">
        <f>SUMIFS('Nat Gas and Electricity'!$M:$M,'Nat Gas and Electricity'!$G:$G,"Dog Park")</f>
        <v>0</v>
      </c>
      <c r="F67" s="442">
        <f>SUMIFS('Nat Gas and Electricity'!$N:$N,'Nat Gas and Electricity'!$G:$G,"Dog Park")</f>
        <v>0</v>
      </c>
      <c r="G67" s="648">
        <f>SUMIFS('Nat Gas and Electricity'!$W:$W,'Nat Gas and Electricity'!$G:$G,"Dog Park")</f>
        <v>0.91668643827961294</v>
      </c>
      <c r="H67" s="529">
        <f t="shared" si="8"/>
        <v>10.962756000000001</v>
      </c>
      <c r="I67" s="445">
        <f>Table22[[#This Row],[Electricity Cost ($/yr)]]+Table22[[#This Row],[Nat. Gas Cost ($/yr)]]</f>
        <v>694.71</v>
      </c>
    </row>
    <row r="68" spans="1:23">
      <c r="A68" s="432">
        <v>20</v>
      </c>
      <c r="B68" s="5" t="s">
        <v>491</v>
      </c>
      <c r="C68" s="441">
        <f>SUMIFS('Nat Gas and Electricity'!$J:$J,'Nat Gas and Electricity'!$G:$G,"Veterans Park")</f>
        <v>2742</v>
      </c>
      <c r="D68" s="442">
        <f>SUMIFS('Nat Gas and Electricity'!$K:$K,'Nat Gas and Electricity'!$G:$G,"Veterans Park")</f>
        <v>424.67</v>
      </c>
      <c r="E68" s="5">
        <f>SUMIFS('Nat Gas and Electricity'!$M:$M,'Nat Gas and Electricity'!$G:$G,"Veterans Park")</f>
        <v>0</v>
      </c>
      <c r="F68" s="442">
        <f>SUMIFS('Nat Gas and Electricity'!$N:$N,'Nat Gas and Electricity'!$G:$G,"Veterans Park")</f>
        <v>0</v>
      </c>
      <c r="G68" s="648">
        <f>SUMIFS('Nat Gas and Electricity'!$W:$W,'Nat Gas and Electricity'!$G:$G,"Veterans Park")</f>
        <v>0.78230756730865192</v>
      </c>
      <c r="H68" s="529">
        <f t="shared" si="8"/>
        <v>9.3557040000000011</v>
      </c>
      <c r="I68" s="445">
        <f>Table22[[#This Row],[Electricity Cost ($/yr)]]+Table22[[#This Row],[Nat. Gas Cost ($/yr)]]</f>
        <v>424.67</v>
      </c>
    </row>
    <row r="69" spans="1:23">
      <c r="A69" s="432">
        <v>21</v>
      </c>
      <c r="B69" s="5" t="s">
        <v>377</v>
      </c>
      <c r="C69" s="441">
        <f>SUMIFS('Nat Gas and Electricity'!$J:$J,'Nat Gas and Electricity'!$G:$G,"Collins Park")</f>
        <v>2078</v>
      </c>
      <c r="D69" s="442">
        <f>SUMIFS('Nat Gas and Electricity'!$K:$K,'Nat Gas and Electricity'!$G:$G,"Collins Park")</f>
        <v>377.2</v>
      </c>
      <c r="E69" s="5">
        <f>SUMIFS('Nat Gas and Electricity'!$M:$M,'Nat Gas and Electricity'!$G:$G,"Collins Park")</f>
        <v>0</v>
      </c>
      <c r="F69" s="442">
        <f>SUMIFS('Nat Gas and Electricity'!$N:$N,'Nat Gas and Electricity'!$G:$G,"Collins Park")</f>
        <v>0</v>
      </c>
      <c r="G69" s="648">
        <f>SUMIFS('Nat Gas and Electricity'!$W:$W,'Nat Gas and Electricity'!$G:$G,"Collins Park")</f>
        <v>0.59286474284003599</v>
      </c>
      <c r="H69" s="529">
        <f t="shared" si="8"/>
        <v>7.0901360000000002</v>
      </c>
      <c r="I69" s="445">
        <f>Table22[[#This Row],[Electricity Cost ($/yr)]]+Table22[[#This Row],[Nat. Gas Cost ($/yr)]]</f>
        <v>377.2</v>
      </c>
    </row>
    <row r="70" spans="1:23">
      <c r="A70" s="432">
        <v>22</v>
      </c>
      <c r="B70" s="5" t="s">
        <v>17</v>
      </c>
      <c r="C70" s="441">
        <f>SUMIFS('Nat Gas and Electricity'!$J:$J,'Nat Gas and Electricity'!$G:$G,"C/C Restrooms")</f>
        <v>1144</v>
      </c>
      <c r="D70" s="442">
        <f>SUMIFS('Nat Gas and Electricity'!$K:$K,'Nat Gas and Electricity'!$G:$G,"C/C Restrooms")</f>
        <v>403.95</v>
      </c>
      <c r="E70" s="5">
        <f>SUMIFS('Nat Gas and Electricity'!$M:$M,'Nat Gas and Electricity'!$G:$G,"C/C Restrooms")</f>
        <v>0</v>
      </c>
      <c r="F70" s="442">
        <f>SUMIFS('Nat Gas and Electricity'!$N:$N,'Nat Gas and Electricity'!$G:$G,"C/C Restrooms")</f>
        <v>0</v>
      </c>
      <c r="G70" s="648">
        <f>SUMIFS('Nat Gas and Electricity'!$W:$W,'Nat Gas and Electricity'!$G:$G,"C/C Restrooms")</f>
        <v>0.32638944456641056</v>
      </c>
      <c r="H70" s="529">
        <f t="shared" si="8"/>
        <v>3.9033280000000001</v>
      </c>
      <c r="I70" s="445">
        <f>Table22[[#This Row],[Electricity Cost ($/yr)]]+Table22[[#This Row],[Nat. Gas Cost ($/yr)]]</f>
        <v>403.95</v>
      </c>
    </row>
    <row r="71" spans="1:23">
      <c r="A71" s="432">
        <v>23</v>
      </c>
      <c r="B71" s="5" t="s">
        <v>13</v>
      </c>
      <c r="C71" s="441">
        <f>SUMIFS('Nat Gas and Electricity'!$J:$J,'Nat Gas and Electricity'!$G:$G,"Spirit Park")</f>
        <v>0</v>
      </c>
      <c r="D71" s="442">
        <f>SUMIFS('Nat Gas and Electricity'!$K:$K,'Nat Gas and Electricity'!$G:$G,"Spirit Park")</f>
        <v>0</v>
      </c>
      <c r="E71" s="5">
        <f>SUMIFS('Nat Gas and Electricity'!$M:$M,'Nat Gas and Electricity'!$G:$G,"Spirit Park")</f>
        <v>0</v>
      </c>
      <c r="F71" s="442">
        <f>SUMIFS('Nat Gas and Electricity'!$N:$N,'Nat Gas and Electricity'!$G:$G,"Spirit Park")</f>
        <v>0</v>
      </c>
      <c r="G71" s="648">
        <f>SUMIFS('Nat Gas and Electricity'!$W:$W,'Nat Gas and Electricity'!$G:$G,"Spirit Park")</f>
        <v>0</v>
      </c>
      <c r="H71" s="529">
        <f t="shared" si="8"/>
        <v>0</v>
      </c>
      <c r="I71" s="445">
        <f>Table22[[#This Row],[Electricity Cost ($/yr)]]+Table22[[#This Row],[Nat. Gas Cost ($/yr)]]</f>
        <v>0</v>
      </c>
    </row>
    <row r="72" spans="1:23">
      <c r="A72" s="432">
        <v>24</v>
      </c>
      <c r="B72" s="5" t="s">
        <v>703</v>
      </c>
      <c r="C72" s="441">
        <f>SUMIFS('Nat Gas and Electricity'!$J:$J,'Nat Gas and Electricity'!$G:$G,"Mohawk Valley Grange Hall")</f>
        <v>0</v>
      </c>
      <c r="D72" s="442">
        <f>SUMIFS('Nat Gas and Electricity'!$K:$K,'Nat Gas and Electricity'!$G:$G,"Mohawk Valley Grange Hall")</f>
        <v>248.64000000000004</v>
      </c>
      <c r="E72" s="5">
        <f>SUMIFS('Nat Gas and Electricity'!$M:$M,'Nat Gas and Electricity'!$G:$G,"Mohawk Valley Grange Hall")</f>
        <v>0</v>
      </c>
      <c r="F72" s="442">
        <f>SUMIFS('Nat Gas and Electricity'!$N:$N,'Nat Gas and Electricity'!$G:$G,"Mohawk Valley Grange Hall")</f>
        <v>0</v>
      </c>
      <c r="G72" s="648">
        <f>SUMIFS('Nat Gas and Electricity'!$W:$W,'Nat Gas and Electricity'!$G:$G,"Mohawk Valley Grange Hall")</f>
        <v>0</v>
      </c>
      <c r="H72" s="529">
        <f t="shared" si="8"/>
        <v>0</v>
      </c>
      <c r="I72" s="445">
        <f>Table22[[#This Row],[Electricity Cost ($/yr)]]+Table22[[#This Row],[Nat. Gas Cost ($/yr)]]</f>
        <v>248.64000000000004</v>
      </c>
      <c r="J72" s="432" t="s">
        <v>670</v>
      </c>
    </row>
    <row r="73" spans="1:23">
      <c r="B73" s="495"/>
      <c r="C73" s="530"/>
      <c r="D73" s="496"/>
      <c r="E73" s="623"/>
      <c r="F73" s="624" t="s">
        <v>704</v>
      </c>
      <c r="G73" s="625">
        <f>SUM(G49:G72)</f>
        <v>478.7620672779164</v>
      </c>
      <c r="H73" s="531"/>
      <c r="I73" s="532"/>
    </row>
    <row r="74" spans="1:23">
      <c r="E74" s="1"/>
      <c r="F74" s="626" t="s">
        <v>705</v>
      </c>
      <c r="G74" s="627">
        <f>D$175-Table22[[#Totals],[GHG Emissions (MTC02e/yr)]]</f>
        <v>1207.0753665321586</v>
      </c>
    </row>
    <row r="75" spans="1:23">
      <c r="B75" s="523"/>
      <c r="C75" s="507"/>
      <c r="D75" s="519"/>
      <c r="E75" s="507"/>
      <c r="F75" s="519"/>
      <c r="G75" s="520"/>
      <c r="H75" s="510"/>
      <c r="I75" s="508"/>
    </row>
    <row r="76" spans="1:23" ht="42">
      <c r="B76" s="528" t="s">
        <v>707</v>
      </c>
      <c r="C76" s="439" t="s">
        <v>628</v>
      </c>
      <c r="D76" s="439" t="s">
        <v>681</v>
      </c>
      <c r="E76" s="439" t="s">
        <v>635</v>
      </c>
      <c r="F76" s="439" t="s">
        <v>636</v>
      </c>
      <c r="G76" s="622" t="s">
        <v>682</v>
      </c>
      <c r="H76" s="524" t="s">
        <v>633</v>
      </c>
      <c r="I76" s="641" t="s">
        <v>634</v>
      </c>
      <c r="P76" s="673" t="s">
        <v>707</v>
      </c>
      <c r="Q76" s="674" t="s">
        <v>628</v>
      </c>
      <c r="R76" s="674" t="s">
        <v>681</v>
      </c>
      <c r="S76" s="674" t="s">
        <v>635</v>
      </c>
      <c r="T76" s="674" t="s">
        <v>636</v>
      </c>
      <c r="U76" s="674" t="s">
        <v>682</v>
      </c>
      <c r="V76" s="674" t="s">
        <v>633</v>
      </c>
      <c r="W76" s="675" t="s">
        <v>634</v>
      </c>
    </row>
    <row r="77" spans="1:23" ht="15" thickBot="1">
      <c r="B77" s="440" t="s">
        <v>631</v>
      </c>
      <c r="C77" s="441">
        <f>SUMIFS('Nat Gas and Electricity'!$J:$J,'Nat Gas and Electricity'!$G:$G,"N/A")</f>
        <v>906758</v>
      </c>
      <c r="D77" s="442">
        <f>SUMIFS('Nat Gas and Electricity'!$K:$K,'Nat Gas and Electricity'!$G:$G,"N/A")</f>
        <v>186514.10912579828</v>
      </c>
      <c r="E77" s="5">
        <f>SUMIFS('Nat Gas and Electricity'!$M:$M,'Nat Gas and Electricity'!$G:$G,"N/A")</f>
        <v>366</v>
      </c>
      <c r="F77" s="442">
        <f>SUMIFS('Nat Gas and Electricity'!$N:$N,'Nat Gas and Electricity'!$G:$G,"N/A")</f>
        <v>1609.7199999999998</v>
      </c>
      <c r="G77" s="443">
        <f>SUMIFS('Nat Gas and Electricity'!$W:$W,'Nat Gas and Electricity'!$G:$G,"N/A")</f>
        <v>260.69331497215853</v>
      </c>
      <c r="H77" s="444">
        <f t="shared" ref="H77:H101" si="9">(C77*0.003412)+(E77*0.1)</f>
        <v>3130.4582959999998</v>
      </c>
      <c r="I77" s="643">
        <f>Table2[[#This Row],[Electricity Cost ($/yr)]]+Table2[[#This Row],[Nat. Gas Cost ($/yr)]]</f>
        <v>188123.82912579828</v>
      </c>
      <c r="P77" s="676" t="s">
        <v>7</v>
      </c>
      <c r="Q77" s="677">
        <v>39680</v>
      </c>
      <c r="R77" s="572">
        <v>13623.43</v>
      </c>
      <c r="S77" s="677">
        <v>0</v>
      </c>
      <c r="T77" s="572">
        <v>0</v>
      </c>
      <c r="U77" s="573">
        <v>11.320920594751023</v>
      </c>
      <c r="V77" s="573">
        <v>135.38816</v>
      </c>
      <c r="W77" s="678">
        <v>13623.43</v>
      </c>
    </row>
    <row r="78" spans="1:23">
      <c r="A78" s="432">
        <v>1</v>
      </c>
      <c r="B78" s="543" t="s">
        <v>7</v>
      </c>
      <c r="C78" s="534">
        <f>SUMIFS('Nat Gas and Electricity'!$J:$J,'Nat Gas and Electricity'!$G:$G,"C/C Little League Facility")</f>
        <v>39680</v>
      </c>
      <c r="D78" s="535">
        <f>SUMIFS('Nat Gas and Electricity'!$K:$K,'Nat Gas and Electricity'!$G:$G,"C/C Little League Facility")</f>
        <v>13623.43</v>
      </c>
      <c r="E78" s="536">
        <f>SUMIFS('Nat Gas and Electricity'!$M:$M,'Nat Gas and Electricity'!$G:$G,"BC/C Little League Facility")</f>
        <v>0</v>
      </c>
      <c r="F78" s="535">
        <f>SUMIFS('Nat Gas and Electricity'!$N:$N,'Nat Gas and Electricity'!$G:$G,"C/C Little League Facility")</f>
        <v>0</v>
      </c>
      <c r="G78" s="545">
        <f>SUMIFS('Nat Gas and Electricity'!$W:$W,'Nat Gas and Electricity'!$G:$G,"C/C Little League Facility")</f>
        <v>11.320920594751023</v>
      </c>
      <c r="H78" s="546">
        <f t="shared" si="9"/>
        <v>135.38816</v>
      </c>
      <c r="I78" s="644">
        <f>Table2[[#This Row],[Electricity Cost ($/yr)]]+Table2[[#This Row],[Nat. Gas Cost ($/yr)]]</f>
        <v>13623.43</v>
      </c>
      <c r="P78" s="676" t="s">
        <v>367</v>
      </c>
      <c r="Q78" s="677">
        <v>181155</v>
      </c>
      <c r="R78" s="572">
        <v>8422.840000000002</v>
      </c>
      <c r="S78" s="677">
        <v>3858</v>
      </c>
      <c r="T78" s="572">
        <v>3706.3200000000006</v>
      </c>
      <c r="U78" s="573">
        <v>72.664314341283301</v>
      </c>
      <c r="V78" s="573">
        <v>1003.90086</v>
      </c>
      <c r="W78" s="678">
        <v>12129.160000000003</v>
      </c>
    </row>
    <row r="79" spans="1:23">
      <c r="A79" s="432">
        <v>2</v>
      </c>
      <c r="B79" s="544" t="s">
        <v>367</v>
      </c>
      <c r="C79" s="538">
        <f>SUMIFS('Nat Gas and Electricity'!$J:$J,'Nat Gas and Electricity'!$G:$G,"Town Hall")</f>
        <v>181155</v>
      </c>
      <c r="D79" s="496">
        <f>SUMIFS('Nat Gas and Electricity'!$K:$K,'Nat Gas and Electricity'!$G:$G,"Town Hall")</f>
        <v>8422.840000000002</v>
      </c>
      <c r="E79" s="3">
        <f>SUMIFS('Nat Gas and Electricity'!$M:$M,'Nat Gas and Electricity'!$G:$G,"Town Hall")</f>
        <v>3858</v>
      </c>
      <c r="F79" s="496">
        <f>SUMIFS('Nat Gas and Electricity'!$N:$N,'Nat Gas and Electricity'!$G:$G,"Town Hall")</f>
        <v>3706.3200000000006</v>
      </c>
      <c r="G79" s="497">
        <f>SUMIFS('Nat Gas and Electricity'!$W:$W,'Nat Gas and Electricity'!$G:$G,"Town Hall")</f>
        <v>72.664314341283301</v>
      </c>
      <c r="H79" s="498">
        <f t="shared" si="9"/>
        <v>1003.90086</v>
      </c>
      <c r="I79" s="645">
        <f>Table2[[#This Row],[Electricity Cost ($/yr)]]+Table2[[#This Row],[Nat. Gas Cost ($/yr)]]</f>
        <v>12129.160000000003</v>
      </c>
      <c r="P79" s="676" t="s">
        <v>373</v>
      </c>
      <c r="Q79" s="677">
        <v>180969</v>
      </c>
      <c r="R79" s="572">
        <v>8726.16</v>
      </c>
      <c r="S79" s="677">
        <v>6083</v>
      </c>
      <c r="T79" s="572">
        <v>3175.4</v>
      </c>
      <c r="U79" s="573">
        <v>84.710797525995417</v>
      </c>
      <c r="V79" s="573">
        <v>1225.766228</v>
      </c>
      <c r="W79" s="678">
        <v>11901.56</v>
      </c>
    </row>
    <row r="80" spans="1:23">
      <c r="A80" s="432">
        <v>3</v>
      </c>
      <c r="B80" s="544" t="s">
        <v>373</v>
      </c>
      <c r="C80" s="538">
        <f>SUMIFS('Nat Gas and Electricity'!$J:$J,'Nat Gas and Electricity'!$G:$G,"Public Safety Bldg")</f>
        <v>180969</v>
      </c>
      <c r="D80" s="496">
        <f>SUMIFS('Nat Gas and Electricity'!$K:$K,'Nat Gas and Electricity'!$G:$G,"Public Safety Bldg")</f>
        <v>8726.16</v>
      </c>
      <c r="E80" s="3">
        <f>SUMIFS('Nat Gas and Electricity'!$M:$M,'Nat Gas and Electricity'!$G:$G,"Public Safety Bldg")</f>
        <v>6083</v>
      </c>
      <c r="F80" s="496">
        <f>SUMIFS('Nat Gas and Electricity'!$N:$N,'Nat Gas and Electricity'!$G:$G,"Public Safety Bldg")</f>
        <v>3175.4</v>
      </c>
      <c r="G80" s="497">
        <f>SUMIFS('Nat Gas and Electricity'!$W:$W,'Nat Gas and Electricity'!$G:$G,"Public Safety Bldg")</f>
        <v>84.710797525995417</v>
      </c>
      <c r="H80" s="498">
        <f t="shared" si="9"/>
        <v>1225.766228</v>
      </c>
      <c r="I80" s="645">
        <f>Table2[[#This Row],[Electricity Cost ($/yr)]]+Table2[[#This Row],[Nat. Gas Cost ($/yr)]]</f>
        <v>11901.56</v>
      </c>
      <c r="P80" s="676" t="s">
        <v>488</v>
      </c>
      <c r="Q80" s="677">
        <v>79640</v>
      </c>
      <c r="R80" s="572">
        <v>4879.4999999999991</v>
      </c>
      <c r="S80" s="677">
        <v>12763</v>
      </c>
      <c r="T80" s="572">
        <v>3506.89</v>
      </c>
      <c r="U80" s="573">
        <v>92.126920717892418</v>
      </c>
      <c r="V80" s="573">
        <v>1548.0316800000001</v>
      </c>
      <c r="W80" s="678">
        <v>8386.39</v>
      </c>
    </row>
    <row r="81" spans="1:23">
      <c r="A81" s="432">
        <v>4</v>
      </c>
      <c r="B81" s="544" t="s">
        <v>488</v>
      </c>
      <c r="C81" s="538">
        <f>SUMIFS('Nat Gas and Electricity'!$J:$J,'Nat Gas and Electricity'!$G:$G,"Hwy Main Bldg")</f>
        <v>79640</v>
      </c>
      <c r="D81" s="496">
        <f>SUMIFS('Nat Gas and Electricity'!$K:$K,'Nat Gas and Electricity'!$G:$G,"Hwy Main Bldg")</f>
        <v>4879.4999999999991</v>
      </c>
      <c r="E81" s="3">
        <f>SUMIFS('Nat Gas and Electricity'!$M:$M,'Nat Gas and Electricity'!$G:$G,"Hwy Main Bldg")</f>
        <v>12763</v>
      </c>
      <c r="F81" s="496">
        <f>SUMIFS('Nat Gas and Electricity'!$N:$N,'Nat Gas and Electricity'!$G:$G,"Hwy Main Bldg")</f>
        <v>3506.89</v>
      </c>
      <c r="G81" s="497">
        <f>SUMIFS('Nat Gas and Electricity'!$W:$W,'Nat Gas and Electricity'!$G:$G,"Hwy Main Bldg")</f>
        <v>92.126920717892418</v>
      </c>
      <c r="H81" s="498">
        <f t="shared" si="9"/>
        <v>1548.0316800000001</v>
      </c>
      <c r="I81" s="645">
        <f>Table2[[#This Row],[Electricity Cost ($/yr)]]+Table2[[#This Row],[Nat. Gas Cost ($/yr)]]</f>
        <v>8386.39</v>
      </c>
      <c r="P81" s="676" t="s">
        <v>372</v>
      </c>
      <c r="Q81" s="677">
        <v>105680</v>
      </c>
      <c r="R81" s="572">
        <v>6148.17</v>
      </c>
      <c r="S81" s="677">
        <v>4963</v>
      </c>
      <c r="T81" s="572">
        <v>1720.4100000000003</v>
      </c>
      <c r="U81" s="573">
        <v>57.139874858197786</v>
      </c>
      <c r="V81" s="573">
        <v>856.88016000000005</v>
      </c>
      <c r="W81" s="678">
        <v>7868.58</v>
      </c>
    </row>
    <row r="82" spans="1:23">
      <c r="A82" s="432">
        <v>5</v>
      </c>
      <c r="B82" s="544" t="s">
        <v>372</v>
      </c>
      <c r="C82" s="538">
        <f>SUMIFS('Nat Gas and Electricity'!$J:$J,'Nat Gas and Electricity'!$G:$G,"Senior Center")</f>
        <v>105680</v>
      </c>
      <c r="D82" s="496">
        <f>SUMIFS('Nat Gas and Electricity'!$K:$K,'Nat Gas and Electricity'!$G:$G,"Senior Center")</f>
        <v>6148.17</v>
      </c>
      <c r="E82" s="3">
        <f>SUMIFS('Nat Gas and Electricity'!$M:$M,'Nat Gas and Electricity'!$G:$G,"Senior Center")</f>
        <v>4963</v>
      </c>
      <c r="F82" s="496">
        <f>SUMIFS('Nat Gas and Electricity'!$N:$N,'Nat Gas and Electricity'!$G:$G,"Senior Center")</f>
        <v>1720.4100000000003</v>
      </c>
      <c r="G82" s="497">
        <f>SUMIFS('Nat Gas and Electricity'!$W:$W,'Nat Gas and Electricity'!$G:$G,"Senior Center")</f>
        <v>57.139874858197786</v>
      </c>
      <c r="H82" s="498">
        <f t="shared" si="9"/>
        <v>856.88016000000005</v>
      </c>
      <c r="I82" s="645">
        <f>Table2[[#This Row],[Electricity Cost ($/yr)]]+Table2[[#This Row],[Nat. Gas Cost ($/yr)]]</f>
        <v>7868.58</v>
      </c>
      <c r="P82" s="676" t="s">
        <v>8</v>
      </c>
      <c r="Q82" s="677">
        <v>24935</v>
      </c>
      <c r="R82" s="572">
        <v>6618.1900000000005</v>
      </c>
      <c r="S82" s="677">
        <v>1532</v>
      </c>
      <c r="T82" s="572">
        <v>816.81</v>
      </c>
      <c r="U82" s="573">
        <v>15.445107608621896</v>
      </c>
      <c r="V82" s="573">
        <v>238.27822000000003</v>
      </c>
      <c r="W82" s="678">
        <v>7435</v>
      </c>
    </row>
    <row r="83" spans="1:23">
      <c r="A83" s="432">
        <v>6</v>
      </c>
      <c r="B83" s="544" t="s">
        <v>8</v>
      </c>
      <c r="C83" s="538">
        <f>SUMIFS('Nat Gas and Electricity'!$J:$J,'Nat Gas and Electricity'!$G:$G,"C/C Soccer Facility")</f>
        <v>24935</v>
      </c>
      <c r="D83" s="496">
        <f>SUMIFS('Nat Gas and Electricity'!$K:$K,'Nat Gas and Electricity'!$G:$G,"C/C Soccer Facility")</f>
        <v>6618.1900000000005</v>
      </c>
      <c r="E83" s="3">
        <f>SUMIFS('Nat Gas and Electricity'!$M:$M,'Nat Gas and Electricity'!$G:$G,"C/C Soccer Facility")</f>
        <v>1532</v>
      </c>
      <c r="F83" s="496">
        <f>SUMIFS('Nat Gas and Electricity'!$N:$N,'Nat Gas and Electricity'!$G:$G,"C/C Soccer Facility")</f>
        <v>816.81</v>
      </c>
      <c r="G83" s="497">
        <f>SUMIFS('Nat Gas and Electricity'!$W:$W,'Nat Gas and Electricity'!$G:$G,"C/C Soccer Facility")</f>
        <v>15.445107608621896</v>
      </c>
      <c r="H83" s="498">
        <f t="shared" si="9"/>
        <v>238.27822000000003</v>
      </c>
      <c r="I83" s="645">
        <f>Table2[[#This Row],[Electricity Cost ($/yr)]]+Table2[[#This Row],[Nat. Gas Cost ($/yr)]]</f>
        <v>7435</v>
      </c>
      <c r="P83" s="676" t="s">
        <v>483</v>
      </c>
      <c r="Q83" s="677">
        <v>49926</v>
      </c>
      <c r="R83" s="572">
        <v>2736.7999999999997</v>
      </c>
      <c r="S83" s="677">
        <v>2412</v>
      </c>
      <c r="T83" s="572">
        <v>2352.98</v>
      </c>
      <c r="U83" s="573">
        <v>27.360616322921867</v>
      </c>
      <c r="V83" s="573">
        <v>411.54751199999998</v>
      </c>
      <c r="W83" s="678">
        <v>5089.78</v>
      </c>
    </row>
    <row r="84" spans="1:23">
      <c r="A84" s="432">
        <v>7</v>
      </c>
      <c r="B84" s="544" t="s">
        <v>483</v>
      </c>
      <c r="C84" s="538">
        <f>SUMIFS('Nat Gas and Electricity'!$J:$J,'Nat Gas and Electricity'!$G:$G,"Locust Lane Pool")</f>
        <v>49926</v>
      </c>
      <c r="D84" s="496">
        <f>SUMIFS('Nat Gas and Electricity'!$K:$K,'Nat Gas and Electricity'!$G:$G,"Locust Lane Pool")</f>
        <v>2736.7999999999997</v>
      </c>
      <c r="E84" s="3">
        <f>SUMIFS('Nat Gas and Electricity'!$M:$M,'Nat Gas and Electricity'!$G:$G,"Locust Lane Pool")</f>
        <v>2412</v>
      </c>
      <c r="F84" s="496">
        <f>SUMIFS('Nat Gas and Electricity'!$N:$N,'Nat Gas and Electricity'!$G:$G,"Locust Lane Pool")</f>
        <v>2352.98</v>
      </c>
      <c r="G84" s="497">
        <f>SUMIFS('Nat Gas and Electricity'!$W:$W,'Nat Gas and Electricity'!$G:$G,"Locust Lane Pool")</f>
        <v>27.360616322921867</v>
      </c>
      <c r="H84" s="498">
        <f t="shared" si="9"/>
        <v>411.54751199999998</v>
      </c>
      <c r="I84" s="645">
        <f>Table2[[#This Row],[Electricity Cost ($/yr)]]+Table2[[#This Row],[Nat. Gas Cost ($/yr)]]</f>
        <v>5089.78</v>
      </c>
      <c r="P84" s="676" t="s">
        <v>11</v>
      </c>
      <c r="Q84" s="677">
        <v>34308</v>
      </c>
      <c r="R84" s="572">
        <v>4860.8700000000008</v>
      </c>
      <c r="S84" s="677">
        <v>0</v>
      </c>
      <c r="T84" s="572">
        <v>0</v>
      </c>
      <c r="U84" s="573">
        <v>9.7882596714898717</v>
      </c>
      <c r="V84" s="573">
        <v>117.058896</v>
      </c>
      <c r="W84" s="678">
        <v>4860.8700000000008</v>
      </c>
    </row>
    <row r="85" spans="1:23">
      <c r="A85" s="432">
        <v>8</v>
      </c>
      <c r="B85" s="544" t="s">
        <v>11</v>
      </c>
      <c r="C85" s="538">
        <f>SUMIFS('Nat Gas and Electricity'!$J:$J,'Nat Gas and Electricity'!$G:$G,"C/C Softball Facility")</f>
        <v>34308</v>
      </c>
      <c r="D85" s="496">
        <f>SUMIFS('Nat Gas and Electricity'!$K:$K,'Nat Gas and Electricity'!$G:$G,"C/C Softball Facility")</f>
        <v>4860.8700000000008</v>
      </c>
      <c r="E85" s="3">
        <f>SUMIFS('Nat Gas and Electricity'!$M:$M,'Nat Gas and Electricity'!$G:$G,"C/C Softball Facility")</f>
        <v>0</v>
      </c>
      <c r="F85" s="496">
        <f>SUMIFS('Nat Gas and Electricity'!$N:$N,'Nat Gas and Electricity'!$G:$G,"C/C Softball Facility")</f>
        <v>0</v>
      </c>
      <c r="G85" s="497">
        <f>SUMIFS('Nat Gas and Electricity'!$W:$W,'Nat Gas and Electricity'!$G:$G,"C/C Softball Facility")</f>
        <v>9.7882596714898717</v>
      </c>
      <c r="H85" s="498">
        <f t="shared" si="9"/>
        <v>117.058896</v>
      </c>
      <c r="I85" s="645">
        <f>Table2[[#This Row],[Electricity Cost ($/yr)]]+Table2[[#This Row],[Nat. Gas Cost ($/yr)]]</f>
        <v>4860.8700000000008</v>
      </c>
      <c r="P85" s="676" t="s">
        <v>487</v>
      </c>
      <c r="Q85" s="677">
        <v>3908</v>
      </c>
      <c r="R85" s="572">
        <v>510</v>
      </c>
      <c r="S85" s="677">
        <v>4100</v>
      </c>
      <c r="T85" s="572">
        <v>3631.9500000000003</v>
      </c>
      <c r="U85" s="573">
        <v>23.410773731962877</v>
      </c>
      <c r="V85" s="573">
        <v>423.33409599999999</v>
      </c>
      <c r="W85" s="678">
        <v>4141.9500000000007</v>
      </c>
    </row>
    <row r="86" spans="1:23">
      <c r="A86" s="432">
        <v>9</v>
      </c>
      <c r="B86" s="544" t="s">
        <v>487</v>
      </c>
      <c r="C86" s="538">
        <f>SUMIFS('Nat Gas and Electricity'!$J:$J,'Nat Gas and Electricity'!$G:$G,"Hwy Storage Bldg")</f>
        <v>3908</v>
      </c>
      <c r="D86" s="496">
        <f>SUMIFS('Nat Gas and Electricity'!$K:$K,'Nat Gas and Electricity'!$G:$G,"Hwy Storage Bldg")</f>
        <v>510</v>
      </c>
      <c r="E86" s="3">
        <f>SUMIFS('Nat Gas and Electricity'!$M:$M,'Nat Gas and Electricity'!$G:$G,"Hwy Storage Bldg")</f>
        <v>4100</v>
      </c>
      <c r="F86" s="496">
        <f>SUMIFS('Nat Gas and Electricity'!$N:$N,'Nat Gas and Electricity'!$G:$G,"Hwy Storage Bldg")</f>
        <v>3631.9500000000003</v>
      </c>
      <c r="G86" s="497">
        <f>SUMIFS('Nat Gas and Electricity'!$W:$W,'Nat Gas and Electricity'!$G:$G,"Hwy Storage Bldg")</f>
        <v>23.410773731962877</v>
      </c>
      <c r="H86" s="498">
        <f t="shared" si="9"/>
        <v>423.33409599999999</v>
      </c>
      <c r="I86" s="645">
        <f>Table2[[#This Row],[Electricity Cost ($/yr)]]+Table2[[#This Row],[Nat. Gas Cost ($/yr)]]</f>
        <v>4141.9500000000007</v>
      </c>
      <c r="P86" s="676" t="s">
        <v>489</v>
      </c>
      <c r="Q86" s="677">
        <v>24321</v>
      </c>
      <c r="R86" s="572">
        <v>1760.3199999999997</v>
      </c>
      <c r="S86" s="677">
        <v>1749</v>
      </c>
      <c r="T86" s="572">
        <v>1781.79</v>
      </c>
      <c r="U86" s="573">
        <v>16.449976057080132</v>
      </c>
      <c r="V86" s="573">
        <v>257.88325200000003</v>
      </c>
      <c r="W86" s="678">
        <v>3542.1099999999997</v>
      </c>
    </row>
    <row r="87" spans="1:23" ht="15" thickBot="1">
      <c r="A87" s="432">
        <v>10</v>
      </c>
      <c r="B87" s="547" t="s">
        <v>489</v>
      </c>
      <c r="C87" s="540">
        <f>SUMIFS('Nat Gas and Electricity'!$J:$J,'Nat Gas and Electricity'!$G:$G,"B&amp;G Auto/Maint Bldg")</f>
        <v>24321</v>
      </c>
      <c r="D87" s="541">
        <f>SUMIFS('Nat Gas and Electricity'!$K:$K,'Nat Gas and Electricity'!$G:$G,"B&amp;G Auto/Maint Bldg")</f>
        <v>1760.3199999999997</v>
      </c>
      <c r="E87" s="542">
        <f>SUMIFS('Nat Gas and Electricity'!$M:$M,'Nat Gas and Electricity'!$G:$G,"B&amp;G Auto/Maint Bldg")</f>
        <v>1749</v>
      </c>
      <c r="F87" s="541">
        <f>SUMIFS('Nat Gas and Electricity'!$N:$N,'Nat Gas and Electricity'!$G:$G,"B&amp;G Auto/Maint Bldg")</f>
        <v>1781.79</v>
      </c>
      <c r="G87" s="548">
        <f>SUMIFS('Nat Gas and Electricity'!$W:$W,'Nat Gas and Electricity'!$G:$G,"B&amp;G Auto/Maint Bldg")</f>
        <v>16.449976057080132</v>
      </c>
      <c r="H87" s="549">
        <f t="shared" si="9"/>
        <v>257.88325200000003</v>
      </c>
      <c r="I87" s="646">
        <f>Table2[[#This Row],[Electricity Cost ($/yr)]]+Table2[[#This Row],[Nat. Gas Cost ($/yr)]]</f>
        <v>3542.1099999999997</v>
      </c>
      <c r="P87" s="676" t="s">
        <v>351</v>
      </c>
      <c r="Q87" s="677">
        <v>98471</v>
      </c>
      <c r="R87" s="572">
        <v>3329.23</v>
      </c>
      <c r="S87" s="677">
        <v>0</v>
      </c>
      <c r="T87" s="572">
        <v>0</v>
      </c>
      <c r="U87" s="573">
        <v>28.094313807604031</v>
      </c>
      <c r="V87" s="573">
        <v>335.98305199999999</v>
      </c>
      <c r="W87" s="678">
        <v>3329.23</v>
      </c>
    </row>
    <row r="88" spans="1:23">
      <c r="A88" s="432">
        <v>11</v>
      </c>
      <c r="B88" s="440" t="s">
        <v>351</v>
      </c>
      <c r="C88" s="441">
        <f>SUMIFS('Nat Gas and Electricity'!$J:$J,'Nat Gas and Electricity'!$G:$G,"Barney Rd Pool")</f>
        <v>98471</v>
      </c>
      <c r="D88" s="442">
        <f>SUMIFS('Nat Gas and Electricity'!$K:$K,'Nat Gas and Electricity'!$G:$G,"Barney Rd Pool")</f>
        <v>3329.23</v>
      </c>
      <c r="E88" s="5">
        <f>SUMIFS('Nat Gas and Electricity'!$M:$M,'Nat Gas and Electricity'!$G:$G,"Barney Rd Pool")</f>
        <v>0</v>
      </c>
      <c r="F88" s="442">
        <f>SUMIFS('Nat Gas and Electricity'!$N:$N,'Nat Gas and Electricity'!$G:$G,"Barney Rd Pool")</f>
        <v>0</v>
      </c>
      <c r="G88" s="443">
        <f>SUMIFS('Nat Gas and Electricity'!$W:$W,'Nat Gas and Electricity'!$G:$G,"Barney Rd Pool")</f>
        <v>28.094313807604031</v>
      </c>
      <c r="H88" s="444">
        <f t="shared" si="9"/>
        <v>335.98305199999999</v>
      </c>
      <c r="I88" s="643">
        <f>Table2[[#This Row],[Electricity Cost ($/yr)]]+Table2[[#This Row],[Nat. Gas Cost ($/yr)]]</f>
        <v>3329.23</v>
      </c>
      <c r="P88" s="676" t="s">
        <v>374</v>
      </c>
      <c r="Q88" s="677">
        <v>6679</v>
      </c>
      <c r="R88" s="572">
        <v>561.9</v>
      </c>
      <c r="S88" s="677">
        <v>3225</v>
      </c>
      <c r="T88" s="572">
        <v>2461.02</v>
      </c>
      <c r="U88" s="573">
        <v>19.443105157569107</v>
      </c>
      <c r="V88" s="573">
        <v>345.288748</v>
      </c>
      <c r="W88" s="678">
        <v>3022.92</v>
      </c>
    </row>
    <row r="89" spans="1:23">
      <c r="A89" s="432">
        <v>12</v>
      </c>
      <c r="B89" s="440" t="s">
        <v>374</v>
      </c>
      <c r="C89" s="441">
        <f>SUMIFS('Nat Gas and Electricity'!$J:$J,'Nat Gas and Electricity'!$G:$G,"Grooms Tavern")</f>
        <v>6679</v>
      </c>
      <c r="D89" s="442">
        <f>SUMIFS('Nat Gas and Electricity'!$K:$K,'Nat Gas and Electricity'!$G:$G,"Grooms Tavern")</f>
        <v>561.9</v>
      </c>
      <c r="E89" s="5">
        <f>SUMIFS('Nat Gas and Electricity'!$M:$M,'Nat Gas and Electricity'!$G:$G,"Grooms Tavern")</f>
        <v>3225</v>
      </c>
      <c r="F89" s="442">
        <f>SUMIFS('Nat Gas and Electricity'!$N:$N,'Nat Gas and Electricity'!$G:$G,"Grooms Tavern")</f>
        <v>2461.02</v>
      </c>
      <c r="G89" s="443">
        <f>SUMIFS('Nat Gas and Electricity'!$W:$W,'Nat Gas and Electricity'!$G:$G,"Grooms Tavern")</f>
        <v>19.443105157569107</v>
      </c>
      <c r="H89" s="444">
        <f t="shared" si="9"/>
        <v>345.288748</v>
      </c>
      <c r="I89" s="643">
        <f>Table2[[#This Row],[Electricity Cost ($/yr)]]+Table2[[#This Row],[Nat. Gas Cost ($/yr)]]</f>
        <v>3022.92</v>
      </c>
      <c r="P89" s="676" t="s">
        <v>417</v>
      </c>
      <c r="Q89" s="677">
        <v>16395</v>
      </c>
      <c r="R89" s="572">
        <v>2395.83</v>
      </c>
      <c r="S89" s="677">
        <v>0</v>
      </c>
      <c r="T89" s="572">
        <v>0</v>
      </c>
      <c r="U89" s="573">
        <v>4.6775829927152976</v>
      </c>
      <c r="V89" s="573">
        <v>55.93974</v>
      </c>
      <c r="W89" s="678">
        <v>2395.83</v>
      </c>
    </row>
    <row r="90" spans="1:23">
      <c r="A90" s="432">
        <v>13</v>
      </c>
      <c r="B90" s="440" t="s">
        <v>417</v>
      </c>
      <c r="C90" s="441">
        <f>SUMIFS('Nat Gas and Electricity'!$J:$J,'Nat Gas and Electricity'!$G:$G,"Transfer Station")</f>
        <v>16395</v>
      </c>
      <c r="D90" s="442">
        <f>SUMIFS('Nat Gas and Electricity'!$K:$K,'Nat Gas and Electricity'!$G:$G,"Transfer Station")</f>
        <v>2395.83</v>
      </c>
      <c r="E90" s="5">
        <f>SUMIFS('Nat Gas and Electricity'!$M:$M,'Nat Gas and Electricity'!$G:$G,"Transfer Station")</f>
        <v>0</v>
      </c>
      <c r="F90" s="442">
        <f>SUMIFS('Nat Gas and Electricity'!$N:$N,'Nat Gas and Electricity'!$G:$G,"Transfer Station")</f>
        <v>0</v>
      </c>
      <c r="G90" s="443">
        <f>SUMIFS('Nat Gas and Electricity'!$W:$W,'Nat Gas and Electricity'!$G:$G,"Transfer Station")</f>
        <v>4.6775829927152976</v>
      </c>
      <c r="H90" s="444">
        <f t="shared" si="9"/>
        <v>55.93974</v>
      </c>
      <c r="I90" s="643">
        <f>Table2[[#This Row],[Electricity Cost ($/yr)]]+Table2[[#This Row],[Nat. Gas Cost ($/yr)]]</f>
        <v>2395.83</v>
      </c>
      <c r="P90" s="676" t="s">
        <v>9</v>
      </c>
      <c r="Q90" s="677">
        <v>10612</v>
      </c>
      <c r="R90" s="572">
        <v>896.26999999999987</v>
      </c>
      <c r="S90" s="677">
        <v>0</v>
      </c>
      <c r="T90" s="572">
        <v>0</v>
      </c>
      <c r="U90" s="573">
        <v>3.0276615259954096</v>
      </c>
      <c r="V90" s="573">
        <v>36.208144000000004</v>
      </c>
      <c r="W90" s="678">
        <v>896.26999999999987</v>
      </c>
    </row>
    <row r="91" spans="1:23">
      <c r="A91" s="432">
        <v>14</v>
      </c>
      <c r="B91" s="440" t="s">
        <v>9</v>
      </c>
      <c r="C91" s="441">
        <f>SUMIFS('Nat Gas and Electricity'!$J:$J,'Nat Gas and Electricity'!$G:$G,"C/C Baseball Facility")</f>
        <v>10612</v>
      </c>
      <c r="D91" s="442">
        <f>SUMIFS('Nat Gas and Electricity'!$K:$K,'Nat Gas and Electricity'!$G:$G,"C/C Baseball Facility")</f>
        <v>896.26999999999987</v>
      </c>
      <c r="E91" s="5">
        <f>SUMIFS('Nat Gas and Electricity'!$M:$M,'Nat Gas and Electricity'!$G:$G,"C/C Baseball Facility")</f>
        <v>0</v>
      </c>
      <c r="F91" s="442">
        <f>SUMIFS('Nat Gas and Electricity'!$N:$N,'Nat Gas and Electricity'!$G:$G,"C/C Baseball Facility")</f>
        <v>0</v>
      </c>
      <c r="G91" s="443">
        <f>SUMIFS('Nat Gas and Electricity'!$W:$W,'Nat Gas and Electricity'!$G:$G,"C/C Baseball Facility")</f>
        <v>3.0276615259954096</v>
      </c>
      <c r="H91" s="444">
        <f t="shared" si="9"/>
        <v>36.208144000000004</v>
      </c>
      <c r="I91" s="643">
        <f>Table2[[#This Row],[Electricity Cost ($/yr)]]+Table2[[#This Row],[Nat. Gas Cost ($/yr)]]</f>
        <v>896.26999999999987</v>
      </c>
      <c r="P91" s="676" t="s">
        <v>490</v>
      </c>
      <c r="Q91" s="677">
        <v>9759</v>
      </c>
      <c r="R91" s="572">
        <v>868.21</v>
      </c>
      <c r="S91" s="677">
        <v>0</v>
      </c>
      <c r="T91" s="572">
        <v>0</v>
      </c>
      <c r="U91" s="573">
        <v>2.7842959698632872</v>
      </c>
      <c r="V91" s="573">
        <v>33.297708</v>
      </c>
      <c r="W91" s="678">
        <v>868.21</v>
      </c>
    </row>
    <row r="92" spans="1:23">
      <c r="A92" s="432">
        <v>15</v>
      </c>
      <c r="B92" s="440" t="s">
        <v>490</v>
      </c>
      <c r="C92" s="441">
        <f>SUMIFS('Nat Gas and Electricity'!$J:$J,'Nat Gas and Electricity'!$G:$G,"C/C Garage")</f>
        <v>9759</v>
      </c>
      <c r="D92" s="442">
        <f>SUMIFS('Nat Gas and Electricity'!$K:$K,'Nat Gas and Electricity'!$G:$G,"C/C Garage")</f>
        <v>868.21</v>
      </c>
      <c r="E92" s="5">
        <f>SUMIFS('Nat Gas and Electricity'!$M:$M,'Nat Gas and Electricity'!$G:$G,"C/C Garage")</f>
        <v>0</v>
      </c>
      <c r="F92" s="442">
        <f>SUMIFS('Nat Gas and Electricity'!$N:$N,'Nat Gas and Electricity'!$G:$G,"C/C Garage")</f>
        <v>0</v>
      </c>
      <c r="G92" s="443">
        <f>SUMIFS('Nat Gas and Electricity'!$W:$W,'Nat Gas and Electricity'!$G:$G,"C/C Garage")</f>
        <v>2.7842959698632872</v>
      </c>
      <c r="H92" s="444">
        <f t="shared" si="9"/>
        <v>33.297708</v>
      </c>
      <c r="I92" s="643">
        <f>Table2[[#This Row],[Electricity Cost ($/yr)]]+Table2[[#This Row],[Nat. Gas Cost ($/yr)]]</f>
        <v>868.21</v>
      </c>
      <c r="P92" s="676" t="s">
        <v>484</v>
      </c>
      <c r="Q92" s="677">
        <v>3213</v>
      </c>
      <c r="R92" s="572">
        <v>694.71</v>
      </c>
      <c r="S92" s="677">
        <v>0</v>
      </c>
      <c r="T92" s="572">
        <v>0</v>
      </c>
      <c r="U92" s="573">
        <v>0.91668643827961294</v>
      </c>
      <c r="V92" s="573">
        <v>10.962756000000001</v>
      </c>
      <c r="W92" s="678">
        <v>694.71</v>
      </c>
    </row>
    <row r="93" spans="1:23">
      <c r="A93" s="432">
        <v>16</v>
      </c>
      <c r="B93" s="440" t="s">
        <v>484</v>
      </c>
      <c r="C93" s="441">
        <f>SUMIFS('Nat Gas and Electricity'!$J:$J,'Nat Gas and Electricity'!$G:$G,"Dog Park")</f>
        <v>3213</v>
      </c>
      <c r="D93" s="442">
        <f>SUMIFS('Nat Gas and Electricity'!$K:$K,'Nat Gas and Electricity'!$G:$G,"Dog Park")</f>
        <v>694.71</v>
      </c>
      <c r="E93" s="5">
        <f>SUMIFS('Nat Gas and Electricity'!$M:$M,'Nat Gas and Electricity'!$G:$G,"Dog Park")</f>
        <v>0</v>
      </c>
      <c r="F93" s="442">
        <f>SUMIFS('Nat Gas and Electricity'!$N:$N,'Nat Gas and Electricity'!$G:$G,"Dog Park")</f>
        <v>0</v>
      </c>
      <c r="G93" s="443">
        <f>SUMIFS('Nat Gas and Electricity'!$W:$W,'Nat Gas and Electricity'!$G:$G,"Dog Park")</f>
        <v>0.91668643827961294</v>
      </c>
      <c r="H93" s="444">
        <f t="shared" si="9"/>
        <v>10.962756000000001</v>
      </c>
      <c r="I93" s="643">
        <f>Table2[[#This Row],[Electricity Cost ($/yr)]]+Table2[[#This Row],[Nat. Gas Cost ($/yr)]]</f>
        <v>694.71</v>
      </c>
      <c r="P93" s="676" t="s">
        <v>10</v>
      </c>
      <c r="Q93" s="677">
        <v>4800</v>
      </c>
      <c r="R93" s="572">
        <v>608.54</v>
      </c>
      <c r="S93" s="677">
        <v>0</v>
      </c>
      <c r="T93" s="572">
        <v>0</v>
      </c>
      <c r="U93" s="573">
        <v>1.3694662009779466</v>
      </c>
      <c r="V93" s="573">
        <v>16.377600000000001</v>
      </c>
      <c r="W93" s="678">
        <v>608.54</v>
      </c>
    </row>
    <row r="94" spans="1:23">
      <c r="A94" s="432">
        <v>17</v>
      </c>
      <c r="B94" s="440" t="s">
        <v>10</v>
      </c>
      <c r="C94" s="441">
        <f>SUMIFS('Nat Gas and Electricity'!$J:$J,'Nat Gas and Electricity'!$G:$G,"C/C Stage")</f>
        <v>4800</v>
      </c>
      <c r="D94" s="442">
        <f>SUMIFS('Nat Gas and Electricity'!$K:$K,'Nat Gas and Electricity'!$G:$G,"C/C Stage")</f>
        <v>608.54</v>
      </c>
      <c r="E94" s="5">
        <f>SUMIFS('Nat Gas and Electricity'!$M:$M,'Nat Gas and Electricity'!$G:$G,"C/C Stage")</f>
        <v>0</v>
      </c>
      <c r="F94" s="442">
        <f>SUMIFS('Nat Gas and Electricity'!$N:$N,'Nat Gas and Electricity'!$G:$G,"C/C Stage")</f>
        <v>0</v>
      </c>
      <c r="G94" s="443">
        <f>SUMIFS('Nat Gas and Electricity'!$W:$W,'Nat Gas and Electricity'!$G:$G,"C/C Stage")</f>
        <v>1.3694662009779466</v>
      </c>
      <c r="H94" s="444">
        <f t="shared" si="9"/>
        <v>16.377600000000001</v>
      </c>
      <c r="I94" s="643">
        <f>Table2[[#This Row],[Electricity Cost ($/yr)]]+Table2[[#This Row],[Nat. Gas Cost ($/yr)]]</f>
        <v>608.54</v>
      </c>
      <c r="P94" s="676" t="s">
        <v>482</v>
      </c>
      <c r="Q94" s="677">
        <v>0</v>
      </c>
      <c r="R94" s="572">
        <v>0</v>
      </c>
      <c r="S94" s="677">
        <v>677</v>
      </c>
      <c r="T94" s="572">
        <v>520.99999999999989</v>
      </c>
      <c r="U94" s="573">
        <v>3.6815260000000003</v>
      </c>
      <c r="V94" s="573">
        <v>67.7</v>
      </c>
      <c r="W94" s="678">
        <v>520.99999999999989</v>
      </c>
    </row>
    <row r="95" spans="1:23">
      <c r="A95" s="432">
        <v>18</v>
      </c>
      <c r="B95" s="440" t="s">
        <v>482</v>
      </c>
      <c r="C95" s="441">
        <f>SUMIFS('Nat Gas and Electricity'!$J:$J,'Nat Gas and Electricity'!$G:$G,"B&amp;G Workshop")</f>
        <v>0</v>
      </c>
      <c r="D95" s="442">
        <f>SUMIFS('Nat Gas and Electricity'!$K:$K,'Nat Gas and Electricity'!$G:$G,"B&amp;G Workshop")</f>
        <v>0</v>
      </c>
      <c r="E95" s="5">
        <f>SUMIFS('Nat Gas and Electricity'!$M:$M,'Nat Gas and Electricity'!$G:$G,"B&amp;G Workshop")</f>
        <v>677</v>
      </c>
      <c r="F95" s="442">
        <f>SUMIFS('Nat Gas and Electricity'!$N:$N,'Nat Gas and Electricity'!$G:$G,"B&amp;G Workshop")</f>
        <v>520.99999999999989</v>
      </c>
      <c r="G95" s="443">
        <f>SUMIFS('Nat Gas and Electricity'!$W:$W,'Nat Gas and Electricity'!$G:$G,"B&amp;G Workshop")</f>
        <v>3.6815260000000003</v>
      </c>
      <c r="H95" s="444">
        <f t="shared" si="9"/>
        <v>67.7</v>
      </c>
      <c r="I95" s="643">
        <f>Table2[[#This Row],[Electricity Cost ($/yr)]]+Table2[[#This Row],[Nat. Gas Cost ($/yr)]]</f>
        <v>520.99999999999989</v>
      </c>
      <c r="P95" s="676" t="s">
        <v>485</v>
      </c>
      <c r="Q95" s="677">
        <v>0</v>
      </c>
      <c r="R95" s="572">
        <v>0</v>
      </c>
      <c r="S95" s="677">
        <v>487</v>
      </c>
      <c r="T95" s="572">
        <v>450.68999999999994</v>
      </c>
      <c r="U95" s="573">
        <v>2.6483060000000003</v>
      </c>
      <c r="V95" s="573">
        <v>48.7</v>
      </c>
      <c r="W95" s="678">
        <v>450.68999999999994</v>
      </c>
    </row>
    <row r="96" spans="1:23">
      <c r="A96" s="432">
        <v>19</v>
      </c>
      <c r="B96" s="440" t="s">
        <v>485</v>
      </c>
      <c r="C96" s="441">
        <f>SUMIFS('Nat Gas and Electricity'!$J:$J,'Nat Gas and Electricity'!$G:$G,"Burning Bush Pool")</f>
        <v>0</v>
      </c>
      <c r="D96" s="442">
        <f>SUMIFS('Nat Gas and Electricity'!$K:$K,'Nat Gas and Electricity'!$G:$G,"Burning Bush Pool")</f>
        <v>0</v>
      </c>
      <c r="E96" s="5">
        <f>SUMIFS('Nat Gas and Electricity'!$M:$M,'Nat Gas and Electricity'!$G:$G,"Burning Bush Pool")</f>
        <v>487</v>
      </c>
      <c r="F96" s="442">
        <f>SUMIFS('Nat Gas and Electricity'!$N:$N,'Nat Gas and Electricity'!$G:$G,"Burning Bush Pool")</f>
        <v>450.68999999999994</v>
      </c>
      <c r="G96" s="443">
        <f>SUMIFS('Nat Gas and Electricity'!$W:$W,'Nat Gas and Electricity'!$G:$G,"Burning Bush Pool")</f>
        <v>2.6483060000000003</v>
      </c>
      <c r="H96" s="444">
        <f t="shared" si="9"/>
        <v>48.7</v>
      </c>
      <c r="I96" s="643">
        <f>Table2[[#This Row],[Electricity Cost ($/yr)]]+Table2[[#This Row],[Nat. Gas Cost ($/yr)]]</f>
        <v>450.68999999999994</v>
      </c>
      <c r="P96" s="676" t="s">
        <v>491</v>
      </c>
      <c r="Q96" s="677">
        <v>2742</v>
      </c>
      <c r="R96" s="572">
        <v>424.67</v>
      </c>
      <c r="S96" s="677">
        <v>0</v>
      </c>
      <c r="T96" s="572">
        <v>0</v>
      </c>
      <c r="U96" s="573">
        <v>0.78230756730865192</v>
      </c>
      <c r="V96" s="573">
        <v>9.3557040000000011</v>
      </c>
      <c r="W96" s="678">
        <v>424.67</v>
      </c>
    </row>
    <row r="97" spans="1:26">
      <c r="A97" s="432">
        <v>20</v>
      </c>
      <c r="B97" s="440" t="s">
        <v>491</v>
      </c>
      <c r="C97" s="441">
        <f>SUMIFS('Nat Gas and Electricity'!$J:$J,'Nat Gas and Electricity'!$G:$G,"Veterans Park")</f>
        <v>2742</v>
      </c>
      <c r="D97" s="442">
        <f>SUMIFS('Nat Gas and Electricity'!$K:$K,'Nat Gas and Electricity'!$G:$G,"Veterans Park")</f>
        <v>424.67</v>
      </c>
      <c r="E97" s="5">
        <f>SUMIFS('Nat Gas and Electricity'!$M:$M,'Nat Gas and Electricity'!$G:$G,"Veterans Park")</f>
        <v>0</v>
      </c>
      <c r="F97" s="442">
        <f>SUMIFS('Nat Gas and Electricity'!$N:$N,'Nat Gas and Electricity'!$G:$G,"Veterans Park")</f>
        <v>0</v>
      </c>
      <c r="G97" s="443">
        <f>SUMIFS('Nat Gas and Electricity'!$W:$W,'Nat Gas and Electricity'!$G:$G,"Veterans Park")</f>
        <v>0.78230756730865192</v>
      </c>
      <c r="H97" s="444">
        <f t="shared" si="9"/>
        <v>9.3557040000000011</v>
      </c>
      <c r="I97" s="643">
        <f>Table2[[#This Row],[Electricity Cost ($/yr)]]+Table2[[#This Row],[Nat. Gas Cost ($/yr)]]</f>
        <v>424.67</v>
      </c>
      <c r="P97" s="676" t="s">
        <v>17</v>
      </c>
      <c r="Q97" s="677">
        <v>1144</v>
      </c>
      <c r="R97" s="572">
        <v>403.95</v>
      </c>
      <c r="S97" s="677">
        <v>0</v>
      </c>
      <c r="T97" s="572">
        <v>0</v>
      </c>
      <c r="U97" s="573">
        <v>0.32638944456641056</v>
      </c>
      <c r="V97" s="573">
        <v>3.9033280000000001</v>
      </c>
      <c r="W97" s="678">
        <v>403.95</v>
      </c>
    </row>
    <row r="98" spans="1:26">
      <c r="A98" s="432">
        <v>21</v>
      </c>
      <c r="B98" s="440" t="s">
        <v>17</v>
      </c>
      <c r="C98" s="441">
        <f>SUMIFS('Nat Gas and Electricity'!$J:$J,'Nat Gas and Electricity'!$G:$G,"C/C Restrooms")</f>
        <v>1144</v>
      </c>
      <c r="D98" s="442">
        <f>SUMIFS('Nat Gas and Electricity'!$K:$K,'Nat Gas and Electricity'!$G:$G,"C/C Restrooms")</f>
        <v>403.95</v>
      </c>
      <c r="E98" s="5">
        <f>SUMIFS('Nat Gas and Electricity'!$M:$M,'Nat Gas and Electricity'!$G:$G,"C/C Restrooms")</f>
        <v>0</v>
      </c>
      <c r="F98" s="442">
        <f>SUMIFS('Nat Gas and Electricity'!$N:$N,'Nat Gas and Electricity'!$G:$G,"C/C Restrooms")</f>
        <v>0</v>
      </c>
      <c r="G98" s="443">
        <f>SUMIFS('Nat Gas and Electricity'!$W:$W,'Nat Gas and Electricity'!$G:$G,"C/C Restrooms")</f>
        <v>0.32638944456641056</v>
      </c>
      <c r="H98" s="444">
        <f t="shared" si="9"/>
        <v>3.9033280000000001</v>
      </c>
      <c r="I98" s="643">
        <f>Table2[[#This Row],[Electricity Cost ($/yr)]]+Table2[[#This Row],[Nat. Gas Cost ($/yr)]]</f>
        <v>403.95</v>
      </c>
      <c r="P98" s="676" t="s">
        <v>377</v>
      </c>
      <c r="Q98" s="677">
        <v>2078</v>
      </c>
      <c r="R98" s="572">
        <v>377.2</v>
      </c>
      <c r="S98" s="677">
        <v>0</v>
      </c>
      <c r="T98" s="572">
        <v>0</v>
      </c>
      <c r="U98" s="573">
        <v>0.59286474284003599</v>
      </c>
      <c r="V98" s="573">
        <v>7.0901360000000002</v>
      </c>
      <c r="W98" s="678">
        <v>377.2</v>
      </c>
    </row>
    <row r="99" spans="1:26">
      <c r="A99" s="432">
        <v>22</v>
      </c>
      <c r="B99" s="440" t="s">
        <v>377</v>
      </c>
      <c r="C99" s="441">
        <f>SUMIFS('Nat Gas and Electricity'!$J:$J,'Nat Gas and Electricity'!$G:$G,"Collins Park")</f>
        <v>2078</v>
      </c>
      <c r="D99" s="442">
        <f>SUMIFS('Nat Gas and Electricity'!$K:$K,'Nat Gas and Electricity'!$G:$G,"Collins Park")</f>
        <v>377.2</v>
      </c>
      <c r="E99" s="5">
        <f>SUMIFS('Nat Gas and Electricity'!$M:$M,'Nat Gas and Electricity'!$G:$G,"Collins Park")</f>
        <v>0</v>
      </c>
      <c r="F99" s="442">
        <f>SUMIFS('Nat Gas and Electricity'!$N:$N,'Nat Gas and Electricity'!$G:$G,"Collins Park")</f>
        <v>0</v>
      </c>
      <c r="G99" s="443">
        <f>SUMIFS('Nat Gas and Electricity'!$W:$W,'Nat Gas and Electricity'!$G:$G,"Collins Park")</f>
        <v>0.59286474284003599</v>
      </c>
      <c r="H99" s="444">
        <f t="shared" si="9"/>
        <v>7.0901360000000002</v>
      </c>
      <c r="I99" s="643">
        <f>Table2[[#This Row],[Electricity Cost ($/yr)]]+Table2[[#This Row],[Nat. Gas Cost ($/yr)]]</f>
        <v>377.2</v>
      </c>
      <c r="P99" s="679" t="s">
        <v>571</v>
      </c>
      <c r="Q99" s="680">
        <v>0</v>
      </c>
      <c r="R99" s="681">
        <v>248.64000000000004</v>
      </c>
      <c r="S99" s="680">
        <v>0</v>
      </c>
      <c r="T99" s="681">
        <v>0</v>
      </c>
      <c r="U99" s="682">
        <v>0</v>
      </c>
      <c r="V99" s="682">
        <v>0</v>
      </c>
      <c r="W99" s="683">
        <v>248.64000000000004</v>
      </c>
    </row>
    <row r="100" spans="1:26">
      <c r="A100" s="432">
        <v>23</v>
      </c>
      <c r="B100" s="440" t="s">
        <v>571</v>
      </c>
      <c r="C100" s="441">
        <f>SUMIFS('Nat Gas and Electricity'!$J:$J,'Nat Gas and Electricity'!$G:$G,"Mohawk Valley Grange Hall")</f>
        <v>0</v>
      </c>
      <c r="D100" s="442">
        <f>SUMIFS('Nat Gas and Electricity'!$K:$K,'Nat Gas and Electricity'!$G:$G,"Mohawk Valley Grange Hall")</f>
        <v>248.64000000000004</v>
      </c>
      <c r="E100" s="5">
        <f>SUMIFS('Nat Gas and Electricity'!$M:$M,'Nat Gas and Electricity'!$G:$G,"Mohawk Valley Grange Hall")</f>
        <v>0</v>
      </c>
      <c r="F100" s="442">
        <f>SUMIFS('Nat Gas and Electricity'!$N:$N,'Nat Gas and Electricity'!$G:$G,"Mohawk Valley Grange Hall")</f>
        <v>0</v>
      </c>
      <c r="G100" s="443">
        <f>SUMIFS('Nat Gas and Electricity'!$W:$W,'Nat Gas and Electricity'!$G:$G,"Mohawk Valley Grange Hall")</f>
        <v>0</v>
      </c>
      <c r="H100" s="529">
        <f t="shared" si="9"/>
        <v>0</v>
      </c>
      <c r="I100" s="643">
        <f>Table2[[#This Row],[Electricity Cost ($/yr)]]+Table2[[#This Row],[Nat. Gas Cost ($/yr)]]</f>
        <v>248.64000000000004</v>
      </c>
    </row>
    <row r="101" spans="1:26" ht="14" customHeight="1">
      <c r="A101" s="432">
        <v>24</v>
      </c>
      <c r="B101" s="440" t="s">
        <v>13</v>
      </c>
      <c r="C101" s="441">
        <f>SUMIFS('Nat Gas and Electricity'!$J:$J,'Nat Gas and Electricity'!$G:$G,"Spirit Park")</f>
        <v>0</v>
      </c>
      <c r="D101" s="442">
        <f>SUMIFS('Nat Gas and Electricity'!$K:$K,'Nat Gas and Electricity'!$G:$G,"Spirit Park")</f>
        <v>0</v>
      </c>
      <c r="E101" s="5">
        <f>SUMIFS('Nat Gas and Electricity'!$M:$M,'Nat Gas and Electricity'!$G:$G,"Spirit Park")</f>
        <v>0</v>
      </c>
      <c r="F101" s="442">
        <f>SUMIFS('Nat Gas and Electricity'!$N:$N,'Nat Gas and Electricity'!$G:$G,"Spirit Park")</f>
        <v>0</v>
      </c>
      <c r="G101" s="443">
        <f>SUMIFS('Nat Gas and Electricity'!$W:$W,'Nat Gas and Electricity'!$G:$G,"Spirit Park")</f>
        <v>0</v>
      </c>
      <c r="H101" s="444">
        <f t="shared" si="9"/>
        <v>0</v>
      </c>
      <c r="I101" s="643">
        <f>Table2[[#This Row],[Electricity Cost ($/yr)]]+Table2[[#This Row],[Nat. Gas Cost ($/yr)]]</f>
        <v>0</v>
      </c>
    </row>
    <row r="102" spans="1:26">
      <c r="F102" s="499"/>
      <c r="G102" s="500"/>
      <c r="S102" s="568"/>
      <c r="T102" s="569"/>
      <c r="U102" s="569"/>
      <c r="V102" s="569"/>
      <c r="W102" s="569"/>
    </row>
    <row r="103" spans="1:26">
      <c r="S103" s="570"/>
      <c r="T103" s="571"/>
      <c r="U103" s="572"/>
      <c r="V103" s="570"/>
      <c r="W103" s="572"/>
    </row>
    <row r="104" spans="1:26" ht="42">
      <c r="B104" s="528" t="s">
        <v>707</v>
      </c>
      <c r="C104" s="439" t="s">
        <v>628</v>
      </c>
      <c r="D104" s="439" t="s">
        <v>681</v>
      </c>
      <c r="E104" s="439" t="s">
        <v>635</v>
      </c>
      <c r="F104" s="439" t="s">
        <v>636</v>
      </c>
      <c r="G104" s="622" t="s">
        <v>682</v>
      </c>
      <c r="H104" s="641" t="s">
        <v>633</v>
      </c>
      <c r="I104" s="439" t="s">
        <v>634</v>
      </c>
      <c r="S104" s="570"/>
      <c r="T104" s="571"/>
      <c r="U104" s="572"/>
      <c r="V104" s="570"/>
      <c r="W104" s="572"/>
      <c r="X104" s="569"/>
      <c r="Y104" s="569"/>
      <c r="Z104" s="569"/>
    </row>
    <row r="105" spans="1:26">
      <c r="B105" s="440" t="s">
        <v>631</v>
      </c>
      <c r="C105" s="441">
        <f>SUMIFS('Nat Gas and Electricity'!$J:$J,'Nat Gas and Electricity'!$G:$G,"N/A")</f>
        <v>906758</v>
      </c>
      <c r="D105" s="442">
        <f>SUMIFS('Nat Gas and Electricity'!$K:$K,'Nat Gas and Electricity'!$G:$G,"N/A")</f>
        <v>186514.10912579828</v>
      </c>
      <c r="E105" s="5">
        <f>SUMIFS('Nat Gas and Electricity'!$M:$M,'Nat Gas and Electricity'!$G:$G,"N/A")</f>
        <v>366</v>
      </c>
      <c r="F105" s="442">
        <f>SUMIFS('Nat Gas and Electricity'!$N:$N,'Nat Gas and Electricity'!$G:$G,"N/A")</f>
        <v>1609.7199999999998</v>
      </c>
      <c r="G105" s="443">
        <f>SUMIFS('Nat Gas and Electricity'!$W:$W,'Nat Gas and Electricity'!$G:$G,"N/A")</f>
        <v>260.69331497215853</v>
      </c>
      <c r="H105" s="642">
        <f t="shared" ref="H105:H129" si="10">(C105*0.003412)+(E105*0.1)</f>
        <v>3130.4582959999998</v>
      </c>
      <c r="I105" s="445">
        <f>Table24[[#This Row],[Electricity Cost ($/yr)]]+Table24[[#This Row],[Nat. Gas Cost ($/yr)]]</f>
        <v>188123.82912579828</v>
      </c>
      <c r="S105" s="570"/>
      <c r="T105" s="571"/>
      <c r="U105" s="572"/>
      <c r="V105" s="570"/>
      <c r="W105" s="572"/>
      <c r="X105" s="573"/>
      <c r="Y105" s="573"/>
      <c r="Z105" s="572"/>
    </row>
    <row r="106" spans="1:26">
      <c r="A106" s="432">
        <v>1</v>
      </c>
      <c r="B106" s="440" t="s">
        <v>488</v>
      </c>
      <c r="C106" s="441">
        <f>SUMIFS('Nat Gas and Electricity'!$J:$J,'Nat Gas and Electricity'!$G:$G,"Hwy Main Bldg")</f>
        <v>79640</v>
      </c>
      <c r="D106" s="442">
        <f>SUMIFS('Nat Gas and Electricity'!$K:$K,'Nat Gas and Electricity'!$G:$G,"Hwy Main Bldg")</f>
        <v>4879.4999999999991</v>
      </c>
      <c r="E106" s="5">
        <f>SUMIFS('Nat Gas and Electricity'!$M:$M,'Nat Gas and Electricity'!$G:$G,"Hwy Main Bldg")</f>
        <v>12763</v>
      </c>
      <c r="F106" s="442">
        <f>SUMIFS('Nat Gas and Electricity'!$N:$N,'Nat Gas and Electricity'!$G:$G,"Hwy Main Bldg")</f>
        <v>3506.89</v>
      </c>
      <c r="G106" s="443">
        <f>SUMIFS('Nat Gas and Electricity'!$W:$W,'Nat Gas and Electricity'!$G:$G,"Hwy Main Bldg")</f>
        <v>92.126920717892418</v>
      </c>
      <c r="H106" s="642">
        <f t="shared" si="10"/>
        <v>1548.0316800000001</v>
      </c>
      <c r="I106" s="445">
        <f>Table24[[#This Row],[Electricity Cost ($/yr)]]+Table24[[#This Row],[Nat. Gas Cost ($/yr)]]</f>
        <v>8386.39</v>
      </c>
      <c r="S106" s="570"/>
      <c r="T106" s="571"/>
      <c r="U106" s="572"/>
      <c r="V106" s="570"/>
      <c r="W106" s="572"/>
      <c r="X106" s="573"/>
      <c r="Y106" s="573"/>
      <c r="Z106" s="572"/>
    </row>
    <row r="107" spans="1:26">
      <c r="A107" s="432">
        <v>2</v>
      </c>
      <c r="B107" s="440" t="s">
        <v>373</v>
      </c>
      <c r="C107" s="441">
        <f>SUMIFS('Nat Gas and Electricity'!$J:$J,'Nat Gas and Electricity'!$G:$G,"Public Safety Bldg")</f>
        <v>180969</v>
      </c>
      <c r="D107" s="442">
        <f>SUMIFS('Nat Gas and Electricity'!$K:$K,'Nat Gas and Electricity'!$G:$G,"Public Safety Bldg")</f>
        <v>8726.16</v>
      </c>
      <c r="E107" s="5">
        <f>SUMIFS('Nat Gas and Electricity'!$M:$M,'Nat Gas and Electricity'!$G:$G,"Public Safety Bldg")</f>
        <v>6083</v>
      </c>
      <c r="F107" s="442">
        <f>SUMIFS('Nat Gas and Electricity'!$N:$N,'Nat Gas and Electricity'!$G:$G,"Public Safety Bldg")</f>
        <v>3175.4</v>
      </c>
      <c r="G107" s="443">
        <f>SUMIFS('Nat Gas and Electricity'!$W:$W,'Nat Gas and Electricity'!$G:$G,"Public Safety Bldg")</f>
        <v>84.710797525995417</v>
      </c>
      <c r="H107" s="642">
        <f t="shared" si="10"/>
        <v>1225.766228</v>
      </c>
      <c r="I107" s="445">
        <f>Table24[[#This Row],[Electricity Cost ($/yr)]]+Table24[[#This Row],[Nat. Gas Cost ($/yr)]]</f>
        <v>11901.56</v>
      </c>
      <c r="S107" s="570"/>
      <c r="T107" s="571"/>
      <c r="U107" s="572"/>
      <c r="V107" s="570"/>
      <c r="W107" s="572"/>
      <c r="X107" s="573"/>
      <c r="Y107" s="573"/>
      <c r="Z107" s="572"/>
    </row>
    <row r="108" spans="1:26">
      <c r="A108" s="432">
        <v>3</v>
      </c>
      <c r="B108" s="440" t="s">
        <v>367</v>
      </c>
      <c r="C108" s="441">
        <f>SUMIFS('Nat Gas and Electricity'!$J:$J,'Nat Gas and Electricity'!$G:$G,"Town Hall")</f>
        <v>181155</v>
      </c>
      <c r="D108" s="442">
        <f>SUMIFS('Nat Gas and Electricity'!$K:$K,'Nat Gas and Electricity'!$G:$G,"Town Hall")</f>
        <v>8422.840000000002</v>
      </c>
      <c r="E108" s="5">
        <f>SUMIFS('Nat Gas and Electricity'!$M:$M,'Nat Gas and Electricity'!$G:$G,"Town Hall")</f>
        <v>3858</v>
      </c>
      <c r="F108" s="442">
        <f>SUMIFS('Nat Gas and Electricity'!$N:$N,'Nat Gas and Electricity'!$G:$G,"Town Hall")</f>
        <v>3706.3200000000006</v>
      </c>
      <c r="G108" s="443">
        <f>SUMIFS('Nat Gas and Electricity'!$W:$W,'Nat Gas and Electricity'!$G:$G,"Town Hall")</f>
        <v>72.664314341283301</v>
      </c>
      <c r="H108" s="642">
        <f t="shared" si="10"/>
        <v>1003.90086</v>
      </c>
      <c r="I108" s="445">
        <f>Table24[[#This Row],[Electricity Cost ($/yr)]]+Table24[[#This Row],[Nat. Gas Cost ($/yr)]]</f>
        <v>12129.160000000003</v>
      </c>
      <c r="S108" s="570"/>
      <c r="T108" s="571"/>
      <c r="U108" s="572"/>
      <c r="V108" s="570"/>
      <c r="W108" s="572"/>
      <c r="X108" s="573"/>
      <c r="Y108" s="573"/>
      <c r="Z108" s="572"/>
    </row>
    <row r="109" spans="1:26">
      <c r="A109" s="432">
        <v>4</v>
      </c>
      <c r="B109" s="440" t="s">
        <v>372</v>
      </c>
      <c r="C109" s="441">
        <f>SUMIFS('Nat Gas and Electricity'!$J:$J,'Nat Gas and Electricity'!$G:$G,"Senior Center")</f>
        <v>105680</v>
      </c>
      <c r="D109" s="442">
        <f>SUMIFS('Nat Gas and Electricity'!$K:$K,'Nat Gas and Electricity'!$G:$G,"Senior Center")</f>
        <v>6148.17</v>
      </c>
      <c r="E109" s="5">
        <f>SUMIFS('Nat Gas and Electricity'!$M:$M,'Nat Gas and Electricity'!$G:$G,"Senior Center")</f>
        <v>4963</v>
      </c>
      <c r="F109" s="442">
        <f>SUMIFS('Nat Gas and Electricity'!$N:$N,'Nat Gas and Electricity'!$G:$G,"Senior Center")</f>
        <v>1720.4100000000003</v>
      </c>
      <c r="G109" s="443">
        <f>SUMIFS('Nat Gas and Electricity'!$W:$W,'Nat Gas and Electricity'!$G:$G,"Senior Center")</f>
        <v>57.139874858197786</v>
      </c>
      <c r="H109" s="642">
        <f t="shared" si="10"/>
        <v>856.88016000000005</v>
      </c>
      <c r="I109" s="445">
        <f>Table24[[#This Row],[Electricity Cost ($/yr)]]+Table24[[#This Row],[Nat. Gas Cost ($/yr)]]</f>
        <v>7868.58</v>
      </c>
      <c r="S109" s="570"/>
      <c r="T109" s="571"/>
      <c r="U109" s="572"/>
      <c r="V109" s="570"/>
      <c r="W109" s="572"/>
      <c r="X109" s="573"/>
      <c r="Y109" s="573"/>
      <c r="Z109" s="572"/>
    </row>
    <row r="110" spans="1:26">
      <c r="A110" s="432">
        <v>5</v>
      </c>
      <c r="B110" s="440" t="s">
        <v>487</v>
      </c>
      <c r="C110" s="441">
        <f>SUMIFS('Nat Gas and Electricity'!$J:$J,'Nat Gas and Electricity'!$G:$G,"Hwy Storage Bldg")</f>
        <v>3908</v>
      </c>
      <c r="D110" s="442">
        <f>SUMIFS('Nat Gas and Electricity'!$K:$K,'Nat Gas and Electricity'!$G:$G,"Hwy Storage Bldg")</f>
        <v>510</v>
      </c>
      <c r="E110" s="5">
        <f>SUMIFS('Nat Gas and Electricity'!$M:$M,'Nat Gas and Electricity'!$G:$G,"Hwy Storage Bldg")</f>
        <v>4100</v>
      </c>
      <c r="F110" s="442">
        <f>SUMIFS('Nat Gas and Electricity'!$N:$N,'Nat Gas and Electricity'!$G:$G,"Hwy Storage Bldg")</f>
        <v>3631.9500000000003</v>
      </c>
      <c r="G110" s="443">
        <f>SUMIFS('Nat Gas and Electricity'!$W:$W,'Nat Gas and Electricity'!$G:$G,"Hwy Storage Bldg")</f>
        <v>23.410773731962877</v>
      </c>
      <c r="H110" s="642">
        <f t="shared" si="10"/>
        <v>423.33409599999999</v>
      </c>
      <c r="I110" s="445">
        <f>Table24[[#This Row],[Electricity Cost ($/yr)]]+Table24[[#This Row],[Nat. Gas Cost ($/yr)]]</f>
        <v>4141.9500000000007</v>
      </c>
      <c r="S110" s="570"/>
      <c r="T110" s="571"/>
      <c r="U110" s="572"/>
      <c r="V110" s="570"/>
      <c r="W110" s="572"/>
      <c r="X110" s="573"/>
      <c r="Y110" s="573"/>
      <c r="Z110" s="572"/>
    </row>
    <row r="111" spans="1:26">
      <c r="A111" s="432">
        <v>6</v>
      </c>
      <c r="B111" s="440" t="s">
        <v>483</v>
      </c>
      <c r="C111" s="441">
        <f>SUMIFS('Nat Gas and Electricity'!$J:$J,'Nat Gas and Electricity'!$G:$G,"Locust Lane Pool")</f>
        <v>49926</v>
      </c>
      <c r="D111" s="442">
        <f>SUMIFS('Nat Gas and Electricity'!$K:$K,'Nat Gas and Electricity'!$G:$G,"Locust Lane Pool")</f>
        <v>2736.7999999999997</v>
      </c>
      <c r="E111" s="5">
        <f>SUMIFS('Nat Gas and Electricity'!$M:$M,'Nat Gas and Electricity'!$G:$G,"Locust Lane Pool")</f>
        <v>2412</v>
      </c>
      <c r="F111" s="442">
        <f>SUMIFS('Nat Gas and Electricity'!$N:$N,'Nat Gas and Electricity'!$G:$G,"Locust Lane Pool")</f>
        <v>2352.98</v>
      </c>
      <c r="G111" s="443">
        <f>SUMIFS('Nat Gas and Electricity'!$W:$W,'Nat Gas and Electricity'!$G:$G,"Locust Lane Pool")</f>
        <v>27.360616322921867</v>
      </c>
      <c r="H111" s="642">
        <f t="shared" si="10"/>
        <v>411.54751199999998</v>
      </c>
      <c r="I111" s="445">
        <f>Table24[[#This Row],[Electricity Cost ($/yr)]]+Table24[[#This Row],[Nat. Gas Cost ($/yr)]]</f>
        <v>5089.78</v>
      </c>
      <c r="S111" s="570"/>
      <c r="T111" s="571"/>
      <c r="U111" s="572"/>
      <c r="V111" s="570"/>
      <c r="W111" s="572"/>
      <c r="X111" s="573"/>
      <c r="Y111" s="573"/>
      <c r="Z111" s="572"/>
    </row>
    <row r="112" spans="1:26">
      <c r="A112" s="432">
        <v>7</v>
      </c>
      <c r="B112" s="440" t="s">
        <v>374</v>
      </c>
      <c r="C112" s="441">
        <f>SUMIFS('Nat Gas and Electricity'!$J:$J,'Nat Gas and Electricity'!$G:$G,"Grooms Tavern")</f>
        <v>6679</v>
      </c>
      <c r="D112" s="442">
        <f>SUMIFS('Nat Gas and Electricity'!$K:$K,'Nat Gas and Electricity'!$G:$G,"Grooms Tavern")</f>
        <v>561.9</v>
      </c>
      <c r="E112" s="5">
        <f>SUMIFS('Nat Gas and Electricity'!$M:$M,'Nat Gas and Electricity'!$G:$G,"Grooms Tavern")</f>
        <v>3225</v>
      </c>
      <c r="F112" s="442">
        <f>SUMIFS('Nat Gas and Electricity'!$N:$N,'Nat Gas and Electricity'!$G:$G,"Grooms Tavern")</f>
        <v>2461.02</v>
      </c>
      <c r="G112" s="443">
        <f>SUMIFS('Nat Gas and Electricity'!$W:$W,'Nat Gas and Electricity'!$G:$G,"Grooms Tavern")</f>
        <v>19.443105157569107</v>
      </c>
      <c r="H112" s="642">
        <f t="shared" si="10"/>
        <v>345.288748</v>
      </c>
      <c r="I112" s="445">
        <f>Table24[[#This Row],[Electricity Cost ($/yr)]]+Table24[[#This Row],[Nat. Gas Cost ($/yr)]]</f>
        <v>3022.92</v>
      </c>
      <c r="S112" s="570"/>
      <c r="T112" s="571"/>
      <c r="U112" s="572"/>
      <c r="V112" s="570"/>
      <c r="W112" s="572"/>
      <c r="X112" s="573"/>
      <c r="Y112" s="573"/>
      <c r="Z112" s="572"/>
    </row>
    <row r="113" spans="1:26">
      <c r="A113" s="432">
        <v>8</v>
      </c>
      <c r="B113" s="440" t="s">
        <v>351</v>
      </c>
      <c r="C113" s="441">
        <f>SUMIFS('Nat Gas and Electricity'!$J:$J,'Nat Gas and Electricity'!$G:$G,"Barney Rd Pool")</f>
        <v>98471</v>
      </c>
      <c r="D113" s="442">
        <f>SUMIFS('Nat Gas and Electricity'!$K:$K,'Nat Gas and Electricity'!$G:$G,"Barney Rd Pool")</f>
        <v>3329.23</v>
      </c>
      <c r="E113" s="5">
        <f>SUMIFS('Nat Gas and Electricity'!$M:$M,'Nat Gas and Electricity'!$G:$G,"Barney Rd Pool")</f>
        <v>0</v>
      </c>
      <c r="F113" s="442">
        <f>SUMIFS('Nat Gas and Electricity'!$N:$N,'Nat Gas and Electricity'!$G:$G,"Barney Rd Pool")</f>
        <v>0</v>
      </c>
      <c r="G113" s="443">
        <f>SUMIFS('Nat Gas and Electricity'!$W:$W,'Nat Gas and Electricity'!$G:$G,"Barney Rd Pool")</f>
        <v>28.094313807604031</v>
      </c>
      <c r="H113" s="642">
        <f t="shared" si="10"/>
        <v>335.98305199999999</v>
      </c>
      <c r="I113" s="445">
        <f>Table24[[#This Row],[Electricity Cost ($/yr)]]+Table24[[#This Row],[Nat. Gas Cost ($/yr)]]</f>
        <v>3329.23</v>
      </c>
      <c r="S113" s="570"/>
      <c r="T113" s="571"/>
      <c r="U113" s="572"/>
      <c r="V113" s="570"/>
      <c r="W113" s="572"/>
      <c r="X113" s="573"/>
      <c r="Y113" s="573"/>
      <c r="Z113" s="572"/>
    </row>
    <row r="114" spans="1:26">
      <c r="A114" s="432">
        <v>9</v>
      </c>
      <c r="B114" s="440" t="s">
        <v>489</v>
      </c>
      <c r="C114" s="441">
        <f>SUMIFS('Nat Gas and Electricity'!$J:$J,'Nat Gas and Electricity'!$G:$G,"B&amp;G Auto/Maint Bldg")</f>
        <v>24321</v>
      </c>
      <c r="D114" s="442">
        <f>SUMIFS('Nat Gas and Electricity'!$K:$K,'Nat Gas and Electricity'!$G:$G,"B&amp;G Auto/Maint Bldg")</f>
        <v>1760.3199999999997</v>
      </c>
      <c r="E114" s="5">
        <f>SUMIFS('Nat Gas and Electricity'!$M:$M,'Nat Gas and Electricity'!$G:$G,"B&amp;G Auto/Maint Bldg")</f>
        <v>1749</v>
      </c>
      <c r="F114" s="442">
        <f>SUMIFS('Nat Gas and Electricity'!$N:$N,'Nat Gas and Electricity'!$G:$G,"B&amp;G Auto/Maint Bldg")</f>
        <v>1781.79</v>
      </c>
      <c r="G114" s="443">
        <f>SUMIFS('Nat Gas and Electricity'!$W:$W,'Nat Gas and Electricity'!$G:$G,"B&amp;G Auto/Maint Bldg")</f>
        <v>16.449976057080132</v>
      </c>
      <c r="H114" s="642">
        <f>(C114*0.003412)+(E114*0.1)</f>
        <v>257.88325200000003</v>
      </c>
      <c r="I114" s="445">
        <f>Table24[[#This Row],[Electricity Cost ($/yr)]]+Table24[[#This Row],[Nat. Gas Cost ($/yr)]]</f>
        <v>3542.1099999999997</v>
      </c>
      <c r="S114" s="570"/>
      <c r="T114" s="571"/>
      <c r="U114" s="572"/>
      <c r="V114" s="570"/>
      <c r="W114" s="572"/>
      <c r="X114" s="573"/>
      <c r="Y114" s="573"/>
      <c r="Z114" s="572"/>
    </row>
    <row r="115" spans="1:26">
      <c r="A115" s="432">
        <v>10</v>
      </c>
      <c r="B115" s="440" t="s">
        <v>11</v>
      </c>
      <c r="C115" s="441">
        <f>SUMIFS('Nat Gas and Electricity'!$J:$J,'Nat Gas and Electricity'!$G:$G,"C/C Softball Facility")</f>
        <v>34308</v>
      </c>
      <c r="D115" s="442">
        <f>SUMIFS('Nat Gas and Electricity'!$K:$K,'Nat Gas and Electricity'!$G:$G,"C/C Softball Facility")</f>
        <v>4860.8700000000008</v>
      </c>
      <c r="E115" s="5">
        <f>SUMIFS('Nat Gas and Electricity'!$M:$M,'Nat Gas and Electricity'!$G:$G,"C/C Softball Facility")</f>
        <v>0</v>
      </c>
      <c r="F115" s="442">
        <f>SUMIFS('Nat Gas and Electricity'!$N:$N,'Nat Gas and Electricity'!$G:$G,"C/C Softball Facility")</f>
        <v>0</v>
      </c>
      <c r="G115" s="443">
        <f>SUMIFS('Nat Gas and Electricity'!$W:$W,'Nat Gas and Electricity'!$G:$G,"C/C Softball Facility")</f>
        <v>9.7882596714898717</v>
      </c>
      <c r="H115" s="642">
        <f t="shared" si="10"/>
        <v>117.058896</v>
      </c>
      <c r="I115" s="445">
        <f>Table24[[#This Row],[Electricity Cost ($/yr)]]+Table24[[#This Row],[Nat. Gas Cost ($/yr)]]</f>
        <v>4860.8700000000008</v>
      </c>
      <c r="S115" s="570"/>
      <c r="T115" s="571"/>
      <c r="U115" s="572"/>
      <c r="V115" s="570"/>
      <c r="W115" s="572"/>
      <c r="X115" s="573"/>
      <c r="Y115" s="573"/>
      <c r="Z115" s="572"/>
    </row>
    <row r="116" spans="1:26">
      <c r="A116" s="432">
        <v>11</v>
      </c>
      <c r="B116" s="440" t="s">
        <v>8</v>
      </c>
      <c r="C116" s="441">
        <f>SUMIFS('Nat Gas and Electricity'!$J:$J,'Nat Gas and Electricity'!$G:$G,"C/C Soccer Facility")</f>
        <v>24935</v>
      </c>
      <c r="D116" s="442">
        <f>SUMIFS('Nat Gas and Electricity'!$K:$K,'Nat Gas and Electricity'!$G:$G,"C/C Soccer Facility")</f>
        <v>6618.1900000000005</v>
      </c>
      <c r="E116" s="5">
        <f>SUMIFS('Nat Gas and Electricity'!$M:$M,'Nat Gas and Electricity'!$G:$G,"C/C Soccer Facility")</f>
        <v>1532</v>
      </c>
      <c r="F116" s="442">
        <f>SUMIFS('Nat Gas and Electricity'!$N:$N,'Nat Gas and Electricity'!$G:$G,"C/C Soccer Facility")</f>
        <v>816.81</v>
      </c>
      <c r="G116" s="443">
        <f>SUMIFS('Nat Gas and Electricity'!$W:$W,'Nat Gas and Electricity'!$G:$G,"C/C Soccer Facility")</f>
        <v>15.445107608621896</v>
      </c>
      <c r="H116" s="642">
        <f t="shared" si="10"/>
        <v>238.27822000000003</v>
      </c>
      <c r="I116" s="445">
        <f>Table24[[#This Row],[Electricity Cost ($/yr)]]+Table24[[#This Row],[Nat. Gas Cost ($/yr)]]</f>
        <v>7435</v>
      </c>
      <c r="S116" s="570"/>
      <c r="T116" s="571"/>
      <c r="U116" s="572"/>
      <c r="V116" s="570"/>
      <c r="W116" s="572"/>
      <c r="X116" s="573"/>
      <c r="Y116" s="573"/>
      <c r="Z116" s="572"/>
    </row>
    <row r="117" spans="1:26">
      <c r="A117" s="432">
        <v>12</v>
      </c>
      <c r="B117" s="440" t="s">
        <v>7</v>
      </c>
      <c r="C117" s="441">
        <f>SUMIFS('Nat Gas and Electricity'!$J:$J,'Nat Gas and Electricity'!$G:$G,"C/C Little League Facility")</f>
        <v>39680</v>
      </c>
      <c r="D117" s="442">
        <f>SUMIFS('Nat Gas and Electricity'!$K:$K,'Nat Gas and Electricity'!$G:$G,"C/C Little League Facility")</f>
        <v>13623.43</v>
      </c>
      <c r="E117" s="5">
        <f>SUMIFS('Nat Gas and Electricity'!$M:$M,'Nat Gas and Electricity'!$G:$G,"BC/C Little League Facility")</f>
        <v>0</v>
      </c>
      <c r="F117" s="442">
        <f>SUMIFS('Nat Gas and Electricity'!$N:$N,'Nat Gas and Electricity'!$G:$G,"C/C Little League Facility")</f>
        <v>0</v>
      </c>
      <c r="G117" s="443">
        <f>SUMIFS('Nat Gas and Electricity'!$W:$W,'Nat Gas and Electricity'!$G:$G,"C/C Little League Facility")</f>
        <v>11.320920594751023</v>
      </c>
      <c r="H117" s="642">
        <f t="shared" si="10"/>
        <v>135.38816</v>
      </c>
      <c r="I117" s="445">
        <f>Table24[[#This Row],[Electricity Cost ($/yr)]]+Table24[[#This Row],[Nat. Gas Cost ($/yr)]]</f>
        <v>13623.43</v>
      </c>
      <c r="S117" s="570"/>
      <c r="T117" s="571"/>
      <c r="U117" s="572"/>
      <c r="V117" s="570"/>
      <c r="W117" s="572"/>
      <c r="X117" s="573"/>
      <c r="Y117" s="573"/>
      <c r="Z117" s="572"/>
    </row>
    <row r="118" spans="1:26">
      <c r="A118" s="432">
        <v>13</v>
      </c>
      <c r="B118" s="440" t="s">
        <v>482</v>
      </c>
      <c r="C118" s="441">
        <f>SUMIFS('Nat Gas and Electricity'!$J:$J,'Nat Gas and Electricity'!$G:$G,"B&amp;G Workshop")</f>
        <v>0</v>
      </c>
      <c r="D118" s="442">
        <f>SUMIFS('Nat Gas and Electricity'!$K:$K,'Nat Gas and Electricity'!$G:$G,"B&amp;G Workshop")</f>
        <v>0</v>
      </c>
      <c r="E118" s="5">
        <f>SUMIFS('Nat Gas and Electricity'!$M:$M,'Nat Gas and Electricity'!$G:$G,"B&amp;G Workshop")</f>
        <v>677</v>
      </c>
      <c r="F118" s="442">
        <f>SUMIFS('Nat Gas and Electricity'!$N:$N,'Nat Gas and Electricity'!$G:$G,"B&amp;G Workshop")</f>
        <v>520.99999999999989</v>
      </c>
      <c r="G118" s="443">
        <f>SUMIFS('Nat Gas and Electricity'!$W:$W,'Nat Gas and Electricity'!$G:$G,"B&amp;G Workshop")</f>
        <v>3.6815260000000003</v>
      </c>
      <c r="H118" s="642">
        <f t="shared" si="10"/>
        <v>67.7</v>
      </c>
      <c r="I118" s="445">
        <f>Table24[[#This Row],[Electricity Cost ($/yr)]]+Table24[[#This Row],[Nat. Gas Cost ($/yr)]]</f>
        <v>520.99999999999989</v>
      </c>
      <c r="S118" s="570"/>
      <c r="T118" s="571"/>
      <c r="U118" s="572"/>
      <c r="V118" s="570"/>
      <c r="W118" s="572"/>
      <c r="X118" s="573"/>
      <c r="Y118" s="573"/>
      <c r="Z118" s="572"/>
    </row>
    <row r="119" spans="1:26">
      <c r="A119" s="432">
        <v>14</v>
      </c>
      <c r="B119" s="440" t="s">
        <v>417</v>
      </c>
      <c r="C119" s="441">
        <f>SUMIFS('Nat Gas and Electricity'!$J:$J,'Nat Gas and Electricity'!$G:$G,"Transfer Station")</f>
        <v>16395</v>
      </c>
      <c r="D119" s="442">
        <f>SUMIFS('Nat Gas and Electricity'!$K:$K,'Nat Gas and Electricity'!$G:$G,"Transfer Station")</f>
        <v>2395.83</v>
      </c>
      <c r="E119" s="5">
        <f>SUMIFS('Nat Gas and Electricity'!$M:$M,'Nat Gas and Electricity'!$G:$G,"Transfer Station")</f>
        <v>0</v>
      </c>
      <c r="F119" s="442">
        <f>SUMIFS('Nat Gas and Electricity'!$N:$N,'Nat Gas and Electricity'!$G:$G,"Transfer Station")</f>
        <v>0</v>
      </c>
      <c r="G119" s="443">
        <f>SUMIFS('Nat Gas and Electricity'!$W:$W,'Nat Gas and Electricity'!$G:$G,"Transfer Station")</f>
        <v>4.6775829927152976</v>
      </c>
      <c r="H119" s="642">
        <f t="shared" si="10"/>
        <v>55.93974</v>
      </c>
      <c r="I119" s="445">
        <f>Table24[[#This Row],[Electricity Cost ($/yr)]]+Table24[[#This Row],[Nat. Gas Cost ($/yr)]]</f>
        <v>2395.83</v>
      </c>
      <c r="S119" s="570"/>
      <c r="T119" s="571"/>
      <c r="U119" s="572"/>
      <c r="V119" s="570"/>
      <c r="W119" s="572"/>
      <c r="X119" s="573"/>
      <c r="Y119" s="573"/>
      <c r="Z119" s="572"/>
    </row>
    <row r="120" spans="1:26">
      <c r="A120" s="432">
        <v>15</v>
      </c>
      <c r="B120" s="440" t="s">
        <v>485</v>
      </c>
      <c r="C120" s="441">
        <f>SUMIFS('Nat Gas and Electricity'!$J:$J,'Nat Gas and Electricity'!$G:$G,"Burning Bush Pool")</f>
        <v>0</v>
      </c>
      <c r="D120" s="442">
        <f>SUMIFS('Nat Gas and Electricity'!$K:$K,'Nat Gas and Electricity'!$G:$G,"Burning Bush Pool")</f>
        <v>0</v>
      </c>
      <c r="E120" s="5">
        <f>SUMIFS('Nat Gas and Electricity'!$M:$M,'Nat Gas and Electricity'!$G:$G,"Burning Bush Pool")</f>
        <v>487</v>
      </c>
      <c r="F120" s="442">
        <f>SUMIFS('Nat Gas and Electricity'!$N:$N,'Nat Gas and Electricity'!$G:$G,"Burning Bush Pool")</f>
        <v>450.68999999999994</v>
      </c>
      <c r="G120" s="443">
        <f>SUMIFS('Nat Gas and Electricity'!$W:$W,'Nat Gas and Electricity'!$G:$G,"Burning Bush Pool")</f>
        <v>2.6483060000000003</v>
      </c>
      <c r="H120" s="642">
        <f t="shared" si="10"/>
        <v>48.7</v>
      </c>
      <c r="I120" s="445">
        <f>Table24[[#This Row],[Electricity Cost ($/yr)]]+Table24[[#This Row],[Nat. Gas Cost ($/yr)]]</f>
        <v>450.68999999999994</v>
      </c>
      <c r="S120" s="570"/>
      <c r="T120" s="571"/>
      <c r="U120" s="572"/>
      <c r="V120" s="570"/>
      <c r="W120" s="572"/>
      <c r="X120" s="573"/>
      <c r="Y120" s="573"/>
      <c r="Z120" s="572"/>
    </row>
    <row r="121" spans="1:26">
      <c r="A121" s="432">
        <v>16</v>
      </c>
      <c r="B121" s="440" t="s">
        <v>9</v>
      </c>
      <c r="C121" s="441">
        <f>SUMIFS('Nat Gas and Electricity'!$J:$J,'Nat Gas and Electricity'!$G:$G,"C/C Baseball Facility")</f>
        <v>10612</v>
      </c>
      <c r="D121" s="442">
        <f>SUMIFS('Nat Gas and Electricity'!$K:$K,'Nat Gas and Electricity'!$G:$G,"C/C Baseball Facility")</f>
        <v>896.26999999999987</v>
      </c>
      <c r="E121" s="5">
        <f>SUMIFS('Nat Gas and Electricity'!$M:$M,'Nat Gas and Electricity'!$G:$G,"C/C Baseball Facility")</f>
        <v>0</v>
      </c>
      <c r="F121" s="442">
        <f>SUMIFS('Nat Gas and Electricity'!$N:$N,'Nat Gas and Electricity'!$G:$G,"C/C Baseball Facility")</f>
        <v>0</v>
      </c>
      <c r="G121" s="443">
        <f>SUMIFS('Nat Gas and Electricity'!$W:$W,'Nat Gas and Electricity'!$G:$G,"C/C Baseball Facility")</f>
        <v>3.0276615259954096</v>
      </c>
      <c r="H121" s="642">
        <f t="shared" si="10"/>
        <v>36.208144000000004</v>
      </c>
      <c r="I121" s="445">
        <f>Table24[[#This Row],[Electricity Cost ($/yr)]]+Table24[[#This Row],[Nat. Gas Cost ($/yr)]]</f>
        <v>896.26999999999987</v>
      </c>
      <c r="S121" s="570"/>
      <c r="T121" s="571"/>
      <c r="U121" s="572"/>
      <c r="V121" s="570"/>
      <c r="W121" s="572"/>
      <c r="X121" s="573"/>
      <c r="Y121" s="573"/>
      <c r="Z121" s="572"/>
    </row>
    <row r="122" spans="1:26">
      <c r="A122" s="432">
        <v>17</v>
      </c>
      <c r="B122" s="440" t="s">
        <v>490</v>
      </c>
      <c r="C122" s="441">
        <f>SUMIFS('Nat Gas and Electricity'!$J:$J,'Nat Gas and Electricity'!$G:$G,"C/C Garage")</f>
        <v>9759</v>
      </c>
      <c r="D122" s="442">
        <f>SUMIFS('Nat Gas and Electricity'!$K:$K,'Nat Gas and Electricity'!$G:$G,"C/C Garage")</f>
        <v>868.21</v>
      </c>
      <c r="E122" s="5">
        <f>SUMIFS('Nat Gas and Electricity'!$M:$M,'Nat Gas and Electricity'!$G:$G,"C/C Garage")</f>
        <v>0</v>
      </c>
      <c r="F122" s="442">
        <f>SUMIFS('Nat Gas and Electricity'!$N:$N,'Nat Gas and Electricity'!$G:$G,"C/C Garage")</f>
        <v>0</v>
      </c>
      <c r="G122" s="443">
        <f>SUMIFS('Nat Gas and Electricity'!$W:$W,'Nat Gas and Electricity'!$G:$G,"C/C Garage")</f>
        <v>2.7842959698632872</v>
      </c>
      <c r="H122" s="642">
        <f t="shared" si="10"/>
        <v>33.297708</v>
      </c>
      <c r="I122" s="445">
        <f>Table24[[#This Row],[Electricity Cost ($/yr)]]+Table24[[#This Row],[Nat. Gas Cost ($/yr)]]</f>
        <v>868.21</v>
      </c>
      <c r="S122" s="570"/>
      <c r="T122" s="571"/>
      <c r="U122" s="572"/>
      <c r="V122" s="570"/>
      <c r="W122" s="572"/>
      <c r="X122" s="573"/>
      <c r="Y122" s="573"/>
      <c r="Z122" s="572"/>
    </row>
    <row r="123" spans="1:26">
      <c r="A123" s="432">
        <v>18</v>
      </c>
      <c r="B123" s="440" t="s">
        <v>10</v>
      </c>
      <c r="C123" s="441">
        <f>SUMIFS('Nat Gas and Electricity'!$J:$J,'Nat Gas and Electricity'!$G:$G,"C/C Stage")</f>
        <v>4800</v>
      </c>
      <c r="D123" s="442">
        <f>SUMIFS('Nat Gas and Electricity'!$K:$K,'Nat Gas and Electricity'!$G:$G,"C/C Stage")</f>
        <v>608.54</v>
      </c>
      <c r="E123" s="5">
        <f>SUMIFS('Nat Gas and Electricity'!$M:$M,'Nat Gas and Electricity'!$G:$G,"C/C Stage")</f>
        <v>0</v>
      </c>
      <c r="F123" s="442">
        <f>SUMIFS('Nat Gas and Electricity'!$N:$N,'Nat Gas and Electricity'!$G:$G,"C/C Stage")</f>
        <v>0</v>
      </c>
      <c r="G123" s="443">
        <f>SUMIFS('Nat Gas and Electricity'!$W:$W,'Nat Gas and Electricity'!$G:$G,"C/C Stage")</f>
        <v>1.3694662009779466</v>
      </c>
      <c r="H123" s="642">
        <f t="shared" si="10"/>
        <v>16.377600000000001</v>
      </c>
      <c r="I123" s="445">
        <f>Table24[[#This Row],[Electricity Cost ($/yr)]]+Table24[[#This Row],[Nat. Gas Cost ($/yr)]]</f>
        <v>608.54</v>
      </c>
      <c r="S123" s="570"/>
      <c r="T123" s="571"/>
      <c r="U123" s="572"/>
      <c r="V123" s="570"/>
      <c r="W123" s="572"/>
      <c r="X123" s="573"/>
      <c r="Y123" s="573"/>
      <c r="Z123" s="572"/>
    </row>
    <row r="124" spans="1:26">
      <c r="A124" s="432">
        <v>19</v>
      </c>
      <c r="B124" s="440" t="s">
        <v>484</v>
      </c>
      <c r="C124" s="441">
        <f>SUMIFS('Nat Gas and Electricity'!$J:$J,'Nat Gas and Electricity'!$G:$G,"Dog Park")</f>
        <v>3213</v>
      </c>
      <c r="D124" s="442">
        <f>SUMIFS('Nat Gas and Electricity'!$K:$K,'Nat Gas and Electricity'!$G:$G,"Dog Park")</f>
        <v>694.71</v>
      </c>
      <c r="E124" s="5">
        <f>SUMIFS('Nat Gas and Electricity'!$M:$M,'Nat Gas and Electricity'!$G:$G,"Dog Park")</f>
        <v>0</v>
      </c>
      <c r="F124" s="442">
        <f>SUMIFS('Nat Gas and Electricity'!$N:$N,'Nat Gas and Electricity'!$G:$G,"Dog Park")</f>
        <v>0</v>
      </c>
      <c r="G124" s="443">
        <f>SUMIFS('Nat Gas and Electricity'!$W:$W,'Nat Gas and Electricity'!$G:$G,"Dog Park")</f>
        <v>0.91668643827961294</v>
      </c>
      <c r="H124" s="642">
        <f t="shared" si="10"/>
        <v>10.962756000000001</v>
      </c>
      <c r="I124" s="445">
        <f>Table24[[#This Row],[Electricity Cost ($/yr)]]+Table24[[#This Row],[Nat. Gas Cost ($/yr)]]</f>
        <v>694.71</v>
      </c>
      <c r="S124" s="570"/>
      <c r="T124" s="571"/>
      <c r="U124" s="572"/>
      <c r="V124" s="570"/>
      <c r="W124" s="572"/>
      <c r="X124" s="573"/>
      <c r="Y124" s="573"/>
      <c r="Z124" s="572"/>
    </row>
    <row r="125" spans="1:26">
      <c r="A125" s="432">
        <v>20</v>
      </c>
      <c r="B125" s="440" t="s">
        <v>491</v>
      </c>
      <c r="C125" s="441">
        <f>SUMIFS('Nat Gas and Electricity'!$J:$J,'Nat Gas and Electricity'!$G:$G,"Veterans Park")</f>
        <v>2742</v>
      </c>
      <c r="D125" s="442">
        <f>SUMIFS('Nat Gas and Electricity'!$K:$K,'Nat Gas and Electricity'!$G:$G,"Veterans Park")</f>
        <v>424.67</v>
      </c>
      <c r="E125" s="5">
        <f>SUMIFS('Nat Gas and Electricity'!$M:$M,'Nat Gas and Electricity'!$G:$G,"Veterans Park")</f>
        <v>0</v>
      </c>
      <c r="F125" s="442">
        <f>SUMIFS('Nat Gas and Electricity'!$N:$N,'Nat Gas and Electricity'!$G:$G,"Veterans Park")</f>
        <v>0</v>
      </c>
      <c r="G125" s="443">
        <f>SUMIFS('Nat Gas and Electricity'!$W:$W,'Nat Gas and Electricity'!$G:$G,"Veterans Park")</f>
        <v>0.78230756730865192</v>
      </c>
      <c r="H125" s="642">
        <f t="shared" si="10"/>
        <v>9.3557040000000011</v>
      </c>
      <c r="I125" s="445">
        <f>Table24[[#This Row],[Electricity Cost ($/yr)]]+Table24[[#This Row],[Nat. Gas Cost ($/yr)]]</f>
        <v>424.67</v>
      </c>
      <c r="S125" s="570"/>
      <c r="T125" s="571"/>
      <c r="U125" s="572"/>
      <c r="V125" s="570"/>
      <c r="W125" s="572"/>
      <c r="X125" s="573"/>
      <c r="Y125" s="573"/>
      <c r="Z125" s="572"/>
    </row>
    <row r="126" spans="1:26">
      <c r="A126" s="432">
        <v>21</v>
      </c>
      <c r="B126" s="440" t="s">
        <v>377</v>
      </c>
      <c r="C126" s="441">
        <f>SUMIFS('Nat Gas and Electricity'!$J:$J,'Nat Gas and Electricity'!$G:$G,"Collins Park")</f>
        <v>2078</v>
      </c>
      <c r="D126" s="442">
        <f>SUMIFS('Nat Gas and Electricity'!$K:$K,'Nat Gas and Electricity'!$G:$G,"Collins Park")</f>
        <v>377.2</v>
      </c>
      <c r="E126" s="5">
        <f>SUMIFS('Nat Gas and Electricity'!$M:$M,'Nat Gas and Electricity'!$G:$G,"Collins Park")</f>
        <v>0</v>
      </c>
      <c r="F126" s="442">
        <f>SUMIFS('Nat Gas and Electricity'!$N:$N,'Nat Gas and Electricity'!$G:$G,"Collins Park")</f>
        <v>0</v>
      </c>
      <c r="G126" s="443">
        <f>SUMIFS('Nat Gas and Electricity'!$W:$W,'Nat Gas and Electricity'!$G:$G,"Collins Park")</f>
        <v>0.59286474284003599</v>
      </c>
      <c r="H126" s="642">
        <f t="shared" si="10"/>
        <v>7.0901360000000002</v>
      </c>
      <c r="I126" s="445">
        <f>Table24[[#This Row],[Electricity Cost ($/yr)]]+Table24[[#This Row],[Nat. Gas Cost ($/yr)]]</f>
        <v>377.2</v>
      </c>
      <c r="S126" s="570"/>
      <c r="T126" s="571"/>
      <c r="U126" s="572"/>
      <c r="V126" s="570"/>
      <c r="W126" s="572"/>
      <c r="X126" s="573"/>
      <c r="Y126" s="573"/>
      <c r="Z126" s="572"/>
    </row>
    <row r="127" spans="1:26">
      <c r="A127" s="432">
        <v>22</v>
      </c>
      <c r="B127" s="440" t="s">
        <v>17</v>
      </c>
      <c r="C127" s="441">
        <f>SUMIFS('Nat Gas and Electricity'!$J:$J,'Nat Gas and Electricity'!$G:$G,"C/C Restrooms")</f>
        <v>1144</v>
      </c>
      <c r="D127" s="442">
        <f>SUMIFS('Nat Gas and Electricity'!$K:$K,'Nat Gas and Electricity'!$G:$G,"C/C Restrooms")</f>
        <v>403.95</v>
      </c>
      <c r="E127" s="5">
        <f>SUMIFS('Nat Gas and Electricity'!$M:$M,'Nat Gas and Electricity'!$G:$G,"C/C Restrooms")</f>
        <v>0</v>
      </c>
      <c r="F127" s="442">
        <f>SUMIFS('Nat Gas and Electricity'!$N:$N,'Nat Gas and Electricity'!$G:$G,"C/C Restrooms")</f>
        <v>0</v>
      </c>
      <c r="G127" s="443">
        <f>SUMIFS('Nat Gas and Electricity'!$W:$W,'Nat Gas and Electricity'!$G:$G,"C/C Restrooms")</f>
        <v>0.32638944456641056</v>
      </c>
      <c r="H127" s="642">
        <f t="shared" si="10"/>
        <v>3.9033280000000001</v>
      </c>
      <c r="I127" s="445">
        <f>Table24[[#This Row],[Electricity Cost ($/yr)]]+Table24[[#This Row],[Nat. Gas Cost ($/yr)]]</f>
        <v>403.95</v>
      </c>
      <c r="S127" s="570"/>
      <c r="T127" s="571"/>
      <c r="U127" s="572"/>
      <c r="V127" s="570"/>
      <c r="W127" s="572"/>
      <c r="X127" s="573"/>
      <c r="Y127" s="573"/>
      <c r="Z127" s="572"/>
    </row>
    <row r="128" spans="1:26">
      <c r="A128" s="432">
        <v>23</v>
      </c>
      <c r="B128" s="440" t="s">
        <v>13</v>
      </c>
      <c r="C128" s="441">
        <f>SUMIFS('Nat Gas and Electricity'!$J:$J,'Nat Gas and Electricity'!$G:$G,"Spirit Park")</f>
        <v>0</v>
      </c>
      <c r="D128" s="442">
        <f>SUMIFS('Nat Gas and Electricity'!$K:$K,'Nat Gas and Electricity'!$G:$G,"Spirit Park")</f>
        <v>0</v>
      </c>
      <c r="E128" s="5">
        <f>SUMIFS('Nat Gas and Electricity'!$M:$M,'Nat Gas and Electricity'!$G:$G,"Spirit Park")</f>
        <v>0</v>
      </c>
      <c r="F128" s="442">
        <f>SUMIFS('Nat Gas and Electricity'!$N:$N,'Nat Gas and Electricity'!$G:$G,"Spirit Park")</f>
        <v>0</v>
      </c>
      <c r="G128" s="443">
        <f>SUMIFS('Nat Gas and Electricity'!$W:$W,'Nat Gas and Electricity'!$G:$G,"Spirit Park")</f>
        <v>0</v>
      </c>
      <c r="H128" s="642">
        <f t="shared" si="10"/>
        <v>0</v>
      </c>
      <c r="I128" s="445">
        <f>Table24[[#This Row],[Electricity Cost ($/yr)]]+Table24[[#This Row],[Nat. Gas Cost ($/yr)]]</f>
        <v>0</v>
      </c>
      <c r="S128" s="455"/>
      <c r="T128" s="455"/>
      <c r="U128" s="455"/>
      <c r="V128" s="455"/>
      <c r="W128" s="455"/>
      <c r="X128" s="573"/>
      <c r="Y128" s="573"/>
      <c r="Z128" s="572"/>
    </row>
    <row r="129" spans="1:26">
      <c r="A129" s="432">
        <v>24</v>
      </c>
      <c r="B129" s="440" t="s">
        <v>571</v>
      </c>
      <c r="C129" s="441">
        <f>SUMIFS('Nat Gas and Electricity'!$J:$J,'Nat Gas and Electricity'!$G:$G,"Mohawk Valley Grange Hall")</f>
        <v>0</v>
      </c>
      <c r="D129" s="442">
        <f>SUMIFS('Nat Gas and Electricity'!$K:$K,'Nat Gas and Electricity'!$G:$G,"Mohawk Valley Grange Hall")</f>
        <v>248.64000000000004</v>
      </c>
      <c r="E129" s="5">
        <f>SUMIFS('Nat Gas and Electricity'!$M:$M,'Nat Gas and Electricity'!$G:$G,"Mohawk Valley Grange Hall")</f>
        <v>0</v>
      </c>
      <c r="F129" s="442">
        <f>SUMIFS('Nat Gas and Electricity'!$N:$N,'Nat Gas and Electricity'!$G:$G,"Mohawk Valley Grange Hall")</f>
        <v>0</v>
      </c>
      <c r="G129" s="443">
        <f>SUMIFS('Nat Gas and Electricity'!$W:$W,'Nat Gas and Electricity'!$G:$G,"Mohawk Valley Grange Hall")</f>
        <v>0</v>
      </c>
      <c r="H129" s="642">
        <f t="shared" si="10"/>
        <v>0</v>
      </c>
      <c r="I129" s="445">
        <f>Table24[[#This Row],[Electricity Cost ($/yr)]]+Table24[[#This Row],[Nat. Gas Cost ($/yr)]]</f>
        <v>248.64000000000004</v>
      </c>
      <c r="S129" s="455"/>
      <c r="T129" s="455"/>
      <c r="U129" s="455"/>
      <c r="V129" s="455"/>
      <c r="W129" s="455"/>
      <c r="X129" s="573"/>
      <c r="Y129" s="573"/>
      <c r="Z129" s="572"/>
    </row>
    <row r="130" spans="1:26">
      <c r="F130" s="499"/>
      <c r="G130" s="500"/>
      <c r="S130" s="455"/>
      <c r="T130" s="455"/>
      <c r="U130" s="455"/>
      <c r="V130" s="455"/>
      <c r="W130" s="455"/>
      <c r="X130" s="455"/>
      <c r="Y130" s="455"/>
      <c r="Z130" s="455"/>
    </row>
    <row r="131" spans="1:26">
      <c r="S131" s="455"/>
      <c r="T131" s="455"/>
      <c r="U131" s="455"/>
      <c r="V131" s="455"/>
      <c r="W131" s="455"/>
      <c r="X131" s="455"/>
      <c r="Y131" s="455"/>
      <c r="Z131" s="455"/>
    </row>
    <row r="132" spans="1:26">
      <c r="S132" s="455"/>
      <c r="T132" s="455"/>
      <c r="U132" s="455"/>
      <c r="V132" s="455"/>
      <c r="W132" s="455"/>
      <c r="X132" s="455"/>
      <c r="Y132" s="455"/>
      <c r="Z132" s="455"/>
    </row>
    <row r="133" spans="1:26">
      <c r="X133" s="455"/>
      <c r="Y133" s="455"/>
      <c r="Z133" s="455"/>
    </row>
    <row r="134" spans="1:26" ht="28">
      <c r="B134" s="450" t="s">
        <v>708</v>
      </c>
      <c r="C134" s="451" t="s">
        <v>628</v>
      </c>
      <c r="D134" s="451" t="s">
        <v>681</v>
      </c>
      <c r="E134" s="452" t="s">
        <v>635</v>
      </c>
      <c r="F134" s="452" t="s">
        <v>636</v>
      </c>
      <c r="G134" s="638" t="s">
        <v>632</v>
      </c>
      <c r="H134" s="452" t="s">
        <v>633</v>
      </c>
      <c r="I134" s="453" t="s">
        <v>634</v>
      </c>
      <c r="X134" s="455"/>
      <c r="Y134" s="455"/>
      <c r="Z134" s="455"/>
    </row>
    <row r="135" spans="1:26">
      <c r="B135" s="506" t="s">
        <v>596</v>
      </c>
      <c r="C135" s="507">
        <f>SUMIFS('Nat Gas and Electricity'!$J:$J,'Nat Gas and Electricity'!$F:$F,"Street/Area Lighting")</f>
        <v>592155</v>
      </c>
      <c r="D135" s="508">
        <f>SUMIFS('Nat Gas and Electricity'!$K:$K,'Nat Gas and Electricity'!$F:$F,"Street/Area Lighting")</f>
        <v>150478.17912579831</v>
      </c>
      <c r="E135" s="457">
        <f>SUMIFS('Nat Gas and Electricity'!$M:$M,'Nat Gas and Electricity'!$F:$F,"Street/Area Lighting")</f>
        <v>0</v>
      </c>
      <c r="F135" s="508">
        <f>SUMIFS('Nat Gas and Electricity'!$N:$N,'Nat Gas and Electricity'!$F:$F,"Street/Area Lighting")</f>
        <v>0</v>
      </c>
      <c r="G135" s="639">
        <f>SUMIFS('Nat Gas and Electricity'!$W:$W,'Nat Gas and Electricity'!$F:$F,"Street/Area Lighting")</f>
        <v>168.94505380001996</v>
      </c>
      <c r="H135" s="510">
        <f>(C135*0.003412)+(E135*0.1)</f>
        <v>2020.4328600000001</v>
      </c>
      <c r="I135" s="511">
        <f>D135+F135</f>
        <v>150478.17912579831</v>
      </c>
    </row>
    <row r="136" spans="1:26">
      <c r="B136" s="506" t="s">
        <v>476</v>
      </c>
      <c r="C136" s="507">
        <f>SUMIFS('Nat Gas and Electricity'!$J:$J,'Nat Gas and Electricity'!$F:$F,"Park Entrance Lights")</f>
        <v>97967</v>
      </c>
      <c r="D136" s="508">
        <f>SUMIFS('Nat Gas and Electricity'!$K:$K,'Nat Gas and Electricity'!$F:$F,"Park Entrance Lights")</f>
        <v>9820.2800000000007</v>
      </c>
      <c r="E136" s="457">
        <f>SUMIFS('Nat Gas and Electricity'!$M:$M,'Nat Gas and Electricity'!$F:$F,"Park Entrance Lights")</f>
        <v>0</v>
      </c>
      <c r="F136" s="508">
        <f>SUMIFS('Nat Gas and Electricity'!$N:$N,'Nat Gas and Electricity'!$F:$F,"Park Entrance Lights")</f>
        <v>0</v>
      </c>
      <c r="G136" s="639">
        <f>SUMIFS('Nat Gas and Electricity'!$W:$W,'Nat Gas and Electricity'!$F:$F,"Park Entrance Lights")</f>
        <v>27.950519856501352</v>
      </c>
      <c r="H136" s="510">
        <f>(C136*0.003412)+(E136*0.1)</f>
        <v>334.26340400000004</v>
      </c>
      <c r="I136" s="511">
        <f>D136+F136</f>
        <v>9820.2800000000007</v>
      </c>
    </row>
    <row r="137" spans="1:26">
      <c r="B137" s="506" t="s">
        <v>422</v>
      </c>
      <c r="C137" s="507">
        <f>SUMIFS('Nat Gas and Electricity'!$J:$J,'Nat Gas and Electricity'!$F:$F,"Traffic Signals")</f>
        <v>47618</v>
      </c>
      <c r="D137" s="508">
        <f>SUMIFS('Nat Gas and Electricity'!$K:$K,'Nat Gas and Electricity'!$F:$F,"Traffic Signals")</f>
        <v>7948.8600000000006</v>
      </c>
      <c r="E137" s="457">
        <f>SUMIFS('Nat Gas and Electricity'!$M:$M,'Nat Gas and Electricity'!$F:$F,"Traffic Signals")</f>
        <v>0</v>
      </c>
      <c r="F137" s="508">
        <f>SUMIFS('Nat Gas and Electricity'!$N:$N,'Nat Gas and Electricity'!$F:$F,"Traffic Signals")</f>
        <v>0</v>
      </c>
      <c r="G137" s="639">
        <f>SUMIFS('Nat Gas and Electricity'!$W:$W,'Nat Gas and Electricity'!$F:$F,"Traffic Signals")</f>
        <v>13.585675324618302</v>
      </c>
      <c r="H137" s="510">
        <f>(C137*0.003412)+(E137*0.1)</f>
        <v>162.47261600000002</v>
      </c>
      <c r="I137" s="511">
        <f>D137+F137</f>
        <v>7948.8600000000006</v>
      </c>
    </row>
    <row r="138" spans="1:26">
      <c r="B138" s="512" t="s">
        <v>378</v>
      </c>
      <c r="C138" s="513">
        <f>SUMIFS('Nat Gas and Electricity'!$J:$J,'Nat Gas and Electricity'!$F:$F,"Signs")</f>
        <v>4585</v>
      </c>
      <c r="D138" s="514">
        <f>SUMIFS('Nat Gas and Electricity'!$K:$K,'Nat Gas and Electricity'!$F:$F,"Signs")</f>
        <v>1577.71</v>
      </c>
      <c r="E138" s="515">
        <f>SUMIFS('Nat Gas and Electricity'!$M:$M,'Nat Gas and Electricity'!$F:$F,"Signs")</f>
        <v>0</v>
      </c>
      <c r="F138" s="514">
        <f>SUMIFS('Nat Gas and Electricity'!$N:$N,'Nat Gas and Electricity'!$F:$F,"Signs")</f>
        <v>0</v>
      </c>
      <c r="G138" s="640">
        <f>SUMIFS('Nat Gas and Electricity'!$W:$W,'Nat Gas and Electricity'!$F:$F,"Signs")</f>
        <v>1.3081255273924759</v>
      </c>
      <c r="H138" s="517">
        <f>(C138*0.003412)+(E138*0.1)</f>
        <v>15.644020000000001</v>
      </c>
      <c r="I138" s="518">
        <f>D138+F138</f>
        <v>1577.71</v>
      </c>
    </row>
    <row r="140" spans="1:26">
      <c r="I140" s="559"/>
    </row>
    <row r="148" spans="2:9" ht="28">
      <c r="B148" s="450" t="s">
        <v>708</v>
      </c>
      <c r="C148" s="451" t="s">
        <v>628</v>
      </c>
      <c r="D148" s="451" t="s">
        <v>629</v>
      </c>
      <c r="E148" s="452" t="s">
        <v>635</v>
      </c>
      <c r="F148" s="452" t="s">
        <v>636</v>
      </c>
      <c r="G148" s="452" t="s">
        <v>632</v>
      </c>
      <c r="H148" s="452" t="s">
        <v>633</v>
      </c>
      <c r="I148" s="635" t="s">
        <v>634</v>
      </c>
    </row>
    <row r="149" spans="2:9">
      <c r="B149" s="506" t="s">
        <v>596</v>
      </c>
      <c r="C149" s="507">
        <f>SUMIFS('Nat Gas and Electricity'!$J:$J,'Nat Gas and Electricity'!$F:$F,"Street/Area Lighting")</f>
        <v>592155</v>
      </c>
      <c r="D149" s="508">
        <f>SUMIFS('Nat Gas and Electricity'!$K:$K,'Nat Gas and Electricity'!$F:$F,"Street/Area Lighting")</f>
        <v>150478.17912579831</v>
      </c>
      <c r="E149" s="457">
        <f>SUMIFS('Nat Gas and Electricity'!$M:$M,'Nat Gas and Electricity'!$F:$F,"Street/Area Lighting")</f>
        <v>0</v>
      </c>
      <c r="F149" s="508">
        <f>SUMIFS('Nat Gas and Electricity'!$N:$N,'Nat Gas and Electricity'!$F:$F,"Street/Area Lighting")</f>
        <v>0</v>
      </c>
      <c r="G149" s="509">
        <f>SUMIFS('Nat Gas and Electricity'!$W:$W,'Nat Gas and Electricity'!$F:$F,"Street/Area Lighting")</f>
        <v>168.94505380001996</v>
      </c>
      <c r="H149" s="510">
        <f>(C149*0.003412)+(E149*0.1)</f>
        <v>2020.4328600000001</v>
      </c>
      <c r="I149" s="636">
        <f>D149+F149</f>
        <v>150478.17912579831</v>
      </c>
    </row>
    <row r="150" spans="2:9">
      <c r="B150" s="506" t="s">
        <v>476</v>
      </c>
      <c r="C150" s="507">
        <f>SUMIFS('Nat Gas and Electricity'!$J:$J,'Nat Gas and Electricity'!$F:$F,"Park Entrance Lights")</f>
        <v>97967</v>
      </c>
      <c r="D150" s="508">
        <f>SUMIFS('Nat Gas and Electricity'!$K:$K,'Nat Gas and Electricity'!$F:$F,"Park Entrance Lights")</f>
        <v>9820.2800000000007</v>
      </c>
      <c r="E150" s="457">
        <f>SUMIFS('Nat Gas and Electricity'!$M:$M,'Nat Gas and Electricity'!$F:$F,"Park Entrance Lights")</f>
        <v>0</v>
      </c>
      <c r="F150" s="508">
        <f>SUMIFS('Nat Gas and Electricity'!$N:$N,'Nat Gas and Electricity'!$F:$F,"Park Entrance Lights")</f>
        <v>0</v>
      </c>
      <c r="G150" s="509">
        <f>SUMIFS('Nat Gas and Electricity'!$W:$W,'Nat Gas and Electricity'!$F:$F,"Park Entrance Lights")</f>
        <v>27.950519856501352</v>
      </c>
      <c r="H150" s="510">
        <f>(C150*0.003412)+(E150*0.1)</f>
        <v>334.26340400000004</v>
      </c>
      <c r="I150" s="636">
        <f>D150+F150</f>
        <v>9820.2800000000007</v>
      </c>
    </row>
    <row r="151" spans="2:9">
      <c r="B151" s="506" t="s">
        <v>422</v>
      </c>
      <c r="C151" s="507">
        <f>SUMIFS('Nat Gas and Electricity'!$J:$J,'Nat Gas and Electricity'!$F:$F,"Traffic Signals")</f>
        <v>47618</v>
      </c>
      <c r="D151" s="508">
        <f>SUMIFS('Nat Gas and Electricity'!$K:$K,'Nat Gas and Electricity'!$F:$F,"Traffic Signals")</f>
        <v>7948.8600000000006</v>
      </c>
      <c r="E151" s="457">
        <f>SUMIFS('Nat Gas and Electricity'!$M:$M,'Nat Gas and Electricity'!$F:$F,"Traffic Signals")</f>
        <v>0</v>
      </c>
      <c r="F151" s="508">
        <f>SUMIFS('Nat Gas and Electricity'!$N:$N,'Nat Gas and Electricity'!$F:$F,"Traffic Signals")</f>
        <v>0</v>
      </c>
      <c r="G151" s="509">
        <f>SUMIFS('Nat Gas and Electricity'!$W:$W,'Nat Gas and Electricity'!$F:$F,"Traffic Signals")</f>
        <v>13.585675324618302</v>
      </c>
      <c r="H151" s="510">
        <f>(C151*0.003412)+(E151*0.1)</f>
        <v>162.47261600000002</v>
      </c>
      <c r="I151" s="636">
        <f>D151+F151</f>
        <v>7948.8600000000006</v>
      </c>
    </row>
    <row r="152" spans="2:9">
      <c r="B152" s="512" t="s">
        <v>378</v>
      </c>
      <c r="C152" s="513">
        <f>SUMIFS('Nat Gas and Electricity'!$J:$J,'Nat Gas and Electricity'!$F:$F,"Signs")</f>
        <v>4585</v>
      </c>
      <c r="D152" s="514">
        <f>SUMIFS('Nat Gas and Electricity'!$K:$K,'Nat Gas and Electricity'!$F:$F,"Signs")</f>
        <v>1577.71</v>
      </c>
      <c r="E152" s="515">
        <f>SUMIFS('Nat Gas and Electricity'!$M:$M,'Nat Gas and Electricity'!$F:$F,"Signs")</f>
        <v>0</v>
      </c>
      <c r="F152" s="514">
        <f>SUMIFS('Nat Gas and Electricity'!$N:$N,'Nat Gas and Electricity'!$F:$F,"Signs")</f>
        <v>0</v>
      </c>
      <c r="G152" s="516">
        <f>SUMIFS('Nat Gas and Electricity'!$W:$W,'Nat Gas and Electricity'!$F:$F,"Signs")</f>
        <v>1.3081255273924759</v>
      </c>
      <c r="H152" s="517">
        <f>(C152*0.003412)+(E152*0.1)</f>
        <v>15.644020000000001</v>
      </c>
      <c r="I152" s="637">
        <f>D152+F152</f>
        <v>1577.71</v>
      </c>
    </row>
    <row r="168" spans="2:23" ht="42">
      <c r="B168" s="456" t="s">
        <v>709</v>
      </c>
      <c r="C168" s="446" t="s">
        <v>710</v>
      </c>
      <c r="D168" s="634" t="s">
        <v>632</v>
      </c>
      <c r="E168" s="503" t="s">
        <v>633</v>
      </c>
      <c r="F168" s="446" t="s">
        <v>646</v>
      </c>
      <c r="G168" s="454"/>
      <c r="H168" s="415"/>
      <c r="I168" s="455"/>
    </row>
    <row r="169" spans="2:23">
      <c r="B169" s="449" t="s">
        <v>641</v>
      </c>
      <c r="C169" s="597">
        <f>'Vehicle Fleet'!$C$17</f>
        <v>60085</v>
      </c>
      <c r="D169" s="629">
        <f>'Vehicle Fleet'!$H$25</f>
        <v>533.8768556</v>
      </c>
      <c r="E169" s="595">
        <f>C169*0.124262</f>
        <v>7466.2822699999997</v>
      </c>
      <c r="F169" s="502">
        <f>'Vehicle Fleet'!$E$17</f>
        <v>170777</v>
      </c>
      <c r="H169" s="415"/>
      <c r="I169" s="455"/>
    </row>
    <row r="170" spans="2:23">
      <c r="B170" s="449" t="s">
        <v>637</v>
      </c>
      <c r="C170" s="598">
        <f>'Nat Gas and Electricity'!$J$110</f>
        <v>1787173</v>
      </c>
      <c r="D170" s="629">
        <f>'Nat Gas and Electricity'!$V$112</f>
        <v>509.89021225007485</v>
      </c>
      <c r="E170" s="595">
        <f>C170*0.003412</f>
        <v>6097.8342760000005</v>
      </c>
      <c r="F170" s="505">
        <f>'Nat Gas and Electricity'!$K$110</f>
        <v>255609.53912579833</v>
      </c>
    </row>
    <row r="171" spans="2:23">
      <c r="B171" s="449" t="s">
        <v>642</v>
      </c>
      <c r="C171" s="598">
        <f>'Vehicle Fleet'!$D$17</f>
        <v>39923</v>
      </c>
      <c r="D171" s="629">
        <f>'Vehicle Fleet'!$I$25</f>
        <v>412.50519595999998</v>
      </c>
      <c r="E171" s="596">
        <f>C171*0.1396</f>
        <v>5573.2507999999998</v>
      </c>
      <c r="F171" s="505">
        <f>'Vehicle Fleet'!$F$17</f>
        <v>119616</v>
      </c>
    </row>
    <row r="172" spans="2:23">
      <c r="B172" s="449" t="s">
        <v>639</v>
      </c>
      <c r="C172" s="598">
        <f>'Nat Gas and Electricity'!$M$110</f>
        <v>42215</v>
      </c>
      <c r="D172" s="629">
        <f>'Nat Gas and Electricity'!$S$112</f>
        <v>229.56517000000002</v>
      </c>
      <c r="E172" s="595">
        <f>C172*0.1</f>
        <v>4221.5</v>
      </c>
      <c r="F172" s="505">
        <f>'Nat Gas and Electricity'!$N$110</f>
        <v>25734.979999999996</v>
      </c>
      <c r="G172" s="457"/>
      <c r="P172" s="525"/>
      <c r="Q172" s="525"/>
      <c r="R172" s="525"/>
      <c r="S172" s="525"/>
      <c r="T172" s="525"/>
      <c r="U172" s="525"/>
      <c r="V172" s="525"/>
      <c r="W172" s="525"/>
    </row>
    <row r="173" spans="2:23">
      <c r="B173" s="449" t="s">
        <v>640</v>
      </c>
      <c r="C173" s="599">
        <v>0</v>
      </c>
      <c r="D173" s="629">
        <v>0</v>
      </c>
      <c r="E173" s="595">
        <v>0</v>
      </c>
      <c r="F173" s="502">
        <v>0</v>
      </c>
      <c r="G173" s="457"/>
    </row>
    <row r="174" spans="2:23" s="525" customFormat="1">
      <c r="B174" s="447"/>
      <c r="C174" s="447"/>
      <c r="D174" s="504"/>
      <c r="E174" s="504"/>
      <c r="F174" s="447"/>
      <c r="G174" s="457"/>
      <c r="P174" s="432"/>
      <c r="Q174" s="432"/>
      <c r="R174" s="432"/>
      <c r="S174" s="432"/>
      <c r="T174" s="432"/>
      <c r="U174" s="432"/>
      <c r="V174" s="432"/>
      <c r="W174" s="432"/>
    </row>
    <row r="175" spans="2:23">
      <c r="B175" s="489" t="s">
        <v>671</v>
      </c>
      <c r="C175" s="448"/>
      <c r="D175" s="504">
        <f t="shared" ref="D175:F175" si="11">SUM(D169:D173)</f>
        <v>1685.837433810075</v>
      </c>
      <c r="E175" s="504">
        <f>SUM(E169:E173)</f>
        <v>23358.867345999999</v>
      </c>
      <c r="F175" s="448">
        <f t="shared" si="11"/>
        <v>571737.51912579825</v>
      </c>
      <c r="G175" s="457"/>
    </row>
    <row r="176" spans="2:23">
      <c r="B176" s="523"/>
      <c r="C176" s="526"/>
      <c r="D176" s="527"/>
      <c r="E176" s="527"/>
      <c r="F176" s="526"/>
      <c r="G176" s="457"/>
    </row>
    <row r="177" spans="2:8">
      <c r="B177" s="523"/>
      <c r="C177" s="526"/>
      <c r="D177" s="527"/>
      <c r="E177" s="527"/>
      <c r="F177" s="526"/>
      <c r="G177" s="457"/>
    </row>
    <row r="180" spans="2:8" ht="42">
      <c r="B180" s="456" t="s">
        <v>709</v>
      </c>
      <c r="C180" s="446" t="s">
        <v>710</v>
      </c>
      <c r="D180" s="446" t="s">
        <v>632</v>
      </c>
      <c r="E180" s="503" t="s">
        <v>633</v>
      </c>
      <c r="F180" s="631" t="s">
        <v>646</v>
      </c>
      <c r="G180" s="454"/>
      <c r="H180" s="415"/>
    </row>
    <row r="181" spans="2:8">
      <c r="B181" s="449" t="s">
        <v>637</v>
      </c>
      <c r="C181" s="598">
        <f>'Nat Gas and Electricity'!$J$110</f>
        <v>1787173</v>
      </c>
      <c r="D181" s="595">
        <f>'Nat Gas and Electricity'!$V$112</f>
        <v>509.89021225007485</v>
      </c>
      <c r="E181" s="595">
        <f>C181*0.003412</f>
        <v>6097.8342760000005</v>
      </c>
      <c r="F181" s="632">
        <f>'Nat Gas and Electricity'!$K$110</f>
        <v>255609.53912579833</v>
      </c>
      <c r="H181" s="415"/>
    </row>
    <row r="182" spans="2:8">
      <c r="B182" s="449" t="s">
        <v>641</v>
      </c>
      <c r="C182" s="597">
        <f>'Vehicle Fleet'!$C$17</f>
        <v>60085</v>
      </c>
      <c r="D182" s="595">
        <f>'Vehicle Fleet'!$H$25</f>
        <v>533.8768556</v>
      </c>
      <c r="E182" s="595">
        <f>C182*0.124262</f>
        <v>7466.2822699999997</v>
      </c>
      <c r="F182" s="633">
        <f>'Vehicle Fleet'!$E$17</f>
        <v>170777</v>
      </c>
    </row>
    <row r="183" spans="2:8">
      <c r="B183" s="449" t="s">
        <v>642</v>
      </c>
      <c r="C183" s="598">
        <f>'Vehicle Fleet'!$D$17</f>
        <v>39923</v>
      </c>
      <c r="D183" s="595">
        <f>'Vehicle Fleet'!$I$25</f>
        <v>412.50519595999998</v>
      </c>
      <c r="E183" s="596">
        <f>C183*0.1396</f>
        <v>5573.2507999999998</v>
      </c>
      <c r="F183" s="632">
        <f>'Vehicle Fleet'!$F$17</f>
        <v>119616</v>
      </c>
    </row>
    <row r="184" spans="2:8">
      <c r="B184" s="449" t="s">
        <v>639</v>
      </c>
      <c r="C184" s="598">
        <f>'Nat Gas and Electricity'!$M$110</f>
        <v>42215</v>
      </c>
      <c r="D184" s="595">
        <f>'Nat Gas and Electricity'!$S$112</f>
        <v>229.56517000000002</v>
      </c>
      <c r="E184" s="595">
        <f>C184*0.1</f>
        <v>4221.5</v>
      </c>
      <c r="F184" s="632">
        <f>'Nat Gas and Electricity'!$N$110</f>
        <v>25734.979999999996</v>
      </c>
      <c r="G184" s="457"/>
    </row>
    <row r="185" spans="2:8">
      <c r="B185" s="449" t="s">
        <v>640</v>
      </c>
      <c r="C185" s="599">
        <v>0</v>
      </c>
      <c r="D185" s="595">
        <v>0</v>
      </c>
      <c r="E185" s="595">
        <v>0</v>
      </c>
      <c r="F185" s="633">
        <v>0</v>
      </c>
      <c r="G185" s="457"/>
    </row>
    <row r="186" spans="2:8">
      <c r="B186" s="447"/>
      <c r="C186" s="447"/>
      <c r="D186" s="504"/>
      <c r="E186" s="504"/>
      <c r="F186" s="447"/>
      <c r="G186" s="457"/>
      <c r="H186" s="525"/>
    </row>
    <row r="187" spans="2:8">
      <c r="B187" s="489" t="s">
        <v>671</v>
      </c>
      <c r="C187" s="448"/>
      <c r="D187" s="504">
        <f t="shared" ref="D187" si="12">SUM(D181:D185)</f>
        <v>1685.837433810075</v>
      </c>
      <c r="E187" s="504">
        <f>SUM(E181:E185)</f>
        <v>23358.867345999999</v>
      </c>
      <c r="F187" s="448">
        <f t="shared" ref="F187" si="13">SUM(F181:F185)</f>
        <v>571737.51912579825</v>
      </c>
      <c r="G187" s="457"/>
    </row>
    <row r="188" spans="2:8">
      <c r="B188" s="523"/>
      <c r="C188" s="526"/>
      <c r="D188" s="527"/>
      <c r="E188" s="527"/>
      <c r="F188" s="526"/>
      <c r="G188" s="457"/>
    </row>
    <row r="189" spans="2:8">
      <c r="B189" s="523"/>
      <c r="C189" s="526"/>
      <c r="D189" s="527"/>
      <c r="E189" s="527"/>
      <c r="F189" s="526"/>
      <c r="G189" s="457"/>
    </row>
    <row r="192" spans="2:8" ht="42">
      <c r="B192" s="456" t="s">
        <v>709</v>
      </c>
      <c r="C192" s="446" t="s">
        <v>710</v>
      </c>
      <c r="D192" s="446" t="s">
        <v>632</v>
      </c>
      <c r="E192" s="628" t="s">
        <v>633</v>
      </c>
      <c r="F192" s="446" t="s">
        <v>646</v>
      </c>
      <c r="G192" s="454"/>
    </row>
    <row r="193" spans="2:7">
      <c r="B193" s="449" t="s">
        <v>641</v>
      </c>
      <c r="C193" s="597">
        <f>'Vehicle Fleet'!$C$17</f>
        <v>60085</v>
      </c>
      <c r="D193" s="595">
        <f>'Vehicle Fleet'!$H$25</f>
        <v>533.8768556</v>
      </c>
      <c r="E193" s="629">
        <f>C193*0.124262</f>
        <v>7466.2822699999997</v>
      </c>
      <c r="F193" s="502">
        <f>'Vehicle Fleet'!$E$17</f>
        <v>170777</v>
      </c>
    </row>
    <row r="194" spans="2:7">
      <c r="B194" s="449" t="s">
        <v>637</v>
      </c>
      <c r="C194" s="598">
        <f>'Nat Gas and Electricity'!$J$110</f>
        <v>1787173</v>
      </c>
      <c r="D194" s="595">
        <f>'Nat Gas and Electricity'!$V$112</f>
        <v>509.89021225007485</v>
      </c>
      <c r="E194" s="629">
        <f>C194*0.003412</f>
        <v>6097.8342760000005</v>
      </c>
      <c r="F194" s="505">
        <f>'Nat Gas and Electricity'!$K$110</f>
        <v>255609.53912579833</v>
      </c>
    </row>
    <row r="195" spans="2:7">
      <c r="B195" s="449" t="s">
        <v>642</v>
      </c>
      <c r="C195" s="598">
        <f>'Vehicle Fleet'!$D$17</f>
        <v>39923</v>
      </c>
      <c r="D195" s="595">
        <f>'Vehicle Fleet'!$I$25</f>
        <v>412.50519595999998</v>
      </c>
      <c r="E195" s="630">
        <f>C195*0.1396</f>
        <v>5573.2507999999998</v>
      </c>
      <c r="F195" s="505">
        <f>'Vehicle Fleet'!$F$17</f>
        <v>119616</v>
      </c>
    </row>
    <row r="196" spans="2:7">
      <c r="B196" s="449" t="s">
        <v>639</v>
      </c>
      <c r="C196" s="598">
        <f>'Nat Gas and Electricity'!$M$110</f>
        <v>42215</v>
      </c>
      <c r="D196" s="595">
        <f>'Nat Gas and Electricity'!$S$112</f>
        <v>229.56517000000002</v>
      </c>
      <c r="E196" s="629">
        <f>C196*0.1</f>
        <v>4221.5</v>
      </c>
      <c r="F196" s="505">
        <f>'Nat Gas and Electricity'!$N$110</f>
        <v>25734.979999999996</v>
      </c>
      <c r="G196" s="457"/>
    </row>
    <row r="197" spans="2:7">
      <c r="B197" s="449" t="s">
        <v>640</v>
      </c>
      <c r="C197" s="599">
        <v>0</v>
      </c>
      <c r="D197" s="595">
        <v>0</v>
      </c>
      <c r="E197" s="629">
        <v>0</v>
      </c>
      <c r="F197" s="502">
        <v>0</v>
      </c>
      <c r="G197" s="457"/>
    </row>
    <row r="198" spans="2:7">
      <c r="B198" s="447"/>
      <c r="C198" s="447"/>
      <c r="D198" s="504"/>
      <c r="E198" s="504"/>
      <c r="F198" s="447"/>
      <c r="G198" s="457"/>
    </row>
    <row r="199" spans="2:7">
      <c r="B199" s="489" t="s">
        <v>671</v>
      </c>
      <c r="C199" s="448"/>
      <c r="D199" s="504">
        <f t="shared" ref="D199" si="14">SUM(D193:D197)</f>
        <v>1685.837433810075</v>
      </c>
      <c r="E199" s="504">
        <f>SUM(E193:E197)</f>
        <v>23358.867345999999</v>
      </c>
      <c r="F199" s="448">
        <f t="shared" ref="F199" si="15">SUM(F193:F197)</f>
        <v>571737.51912579825</v>
      </c>
      <c r="G199" s="457"/>
    </row>
  </sheetData>
  <autoFilter ref="C5:I9">
    <sortState ref="C6:I9">
      <sortCondition descending="1" ref="G5:G9"/>
    </sortState>
  </autoFilter>
  <sortState ref="S108:Z132">
    <sortCondition descending="1" ref="Z108:Z132"/>
  </sortState>
  <mergeCells count="1">
    <mergeCell ref="A1:I1"/>
  </mergeCells>
  <pageMargins left="0.75" right="0.75" top="1" bottom="1" header="0.5" footer="0.5"/>
  <pageSetup orientation="portrait" horizontalDpi="4294967292" verticalDpi="4294967292"/>
  <drawing r:id="rId1"/>
  <tableParts count="3">
    <tablePart r:id="rId2"/>
    <tablePart r:id="rId3"/>
    <tablePart r:id="rId4"/>
  </tableParts>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4:Y99"/>
  <sheetViews>
    <sheetView zoomScaleNormal="50" zoomScaleSheetLayoutView="145" zoomScalePageLayoutView="50" workbookViewId="0">
      <selection sqref="A1:XFD1"/>
    </sheetView>
  </sheetViews>
  <sheetFormatPr baseColWidth="10" defaultColWidth="9.1640625" defaultRowHeight="14" x14ac:dyDescent="0"/>
  <cols>
    <col min="1" max="1" width="16.6640625" style="247" customWidth="1"/>
    <col min="2" max="2" width="18.6640625" style="123" customWidth="1"/>
    <col min="3" max="3" width="37.6640625" style="247" customWidth="1"/>
    <col min="4" max="4" width="10.1640625" style="247" customWidth="1"/>
    <col min="5" max="5" width="16.33203125" style="247" customWidth="1"/>
    <col min="6" max="6" width="10.83203125" style="247" hidden="1" customWidth="1"/>
    <col min="7" max="7" width="12" style="247" hidden="1" customWidth="1"/>
    <col min="8" max="8" width="10" style="256" hidden="1" customWidth="1"/>
    <col min="9" max="9" width="12.1640625" style="256" customWidth="1"/>
    <col min="10" max="10" width="12.83203125" style="256" hidden="1" customWidth="1"/>
    <col min="11" max="11" width="20.5" style="247" hidden="1" customWidth="1"/>
    <col min="12" max="12" width="21.5" style="247" hidden="1" customWidth="1"/>
    <col min="13" max="13" width="7.5" style="255" hidden="1" customWidth="1"/>
    <col min="14" max="14" width="15.83203125" style="247" hidden="1" customWidth="1"/>
    <col min="15" max="15" width="9.1640625" style="255"/>
    <col min="16" max="16" width="11.33203125" style="247" hidden="1" customWidth="1"/>
    <col min="17" max="17" width="9" style="247" hidden="1" customWidth="1"/>
    <col min="18" max="18" width="13.1640625" style="247" customWidth="1"/>
    <col min="19" max="19" width="21" style="256" hidden="1" customWidth="1"/>
    <col min="20" max="20" width="19.6640625" style="255" hidden="1" customWidth="1"/>
    <col min="21" max="21" width="5.5" style="255" hidden="1" customWidth="1"/>
    <col min="22" max="22" width="13.5" style="247" hidden="1" customWidth="1"/>
    <col min="23" max="23" width="9.83203125" style="247" customWidth="1"/>
    <col min="24" max="24" width="11.83203125" style="255" customWidth="1"/>
    <col min="25" max="25" width="15.83203125" style="304" customWidth="1"/>
    <col min="26" max="16384" width="9.1640625" style="313"/>
  </cols>
  <sheetData>
    <row r="4" spans="1:24" ht="15" thickBot="1"/>
    <row r="5" spans="1:24" s="304" customFormat="1" ht="16" customHeight="1" thickBot="1">
      <c r="A5" s="707" t="s">
        <v>289</v>
      </c>
      <c r="B5" s="708"/>
      <c r="C5" s="708"/>
      <c r="D5" s="708"/>
      <c r="E5" s="709"/>
      <c r="F5" s="247"/>
      <c r="G5" s="256"/>
      <c r="H5" s="256"/>
      <c r="I5" s="256"/>
      <c r="J5" s="247"/>
      <c r="K5" s="247"/>
      <c r="L5" s="247"/>
      <c r="M5" s="255"/>
      <c r="N5" s="247"/>
      <c r="O5" s="255"/>
      <c r="P5" s="247"/>
      <c r="Q5" s="247"/>
      <c r="R5" s="256"/>
      <c r="S5" s="256"/>
      <c r="T5" s="255"/>
      <c r="U5" s="255"/>
      <c r="V5" s="247"/>
      <c r="W5" s="247"/>
      <c r="X5" s="303"/>
    </row>
    <row r="6" spans="1:24" s="304" customFormat="1" ht="16" customHeight="1" thickBot="1">
      <c r="A6" s="707" t="s">
        <v>290</v>
      </c>
      <c r="B6" s="708"/>
      <c r="C6" s="708"/>
      <c r="D6" s="708"/>
      <c r="E6" s="709"/>
      <c r="F6" s="247"/>
      <c r="G6" s="256"/>
      <c r="H6" s="256"/>
      <c r="I6" s="256"/>
      <c r="J6" s="247"/>
      <c r="K6" s="247"/>
      <c r="L6" s="247"/>
      <c r="M6" s="255"/>
      <c r="N6" s="247"/>
      <c r="O6" s="255"/>
      <c r="P6" s="247"/>
      <c r="Q6" s="247"/>
      <c r="R6" s="256"/>
      <c r="S6" s="256"/>
      <c r="T6" s="255"/>
      <c r="U6" s="255"/>
      <c r="V6" s="247"/>
      <c r="W6" s="247"/>
      <c r="X6" s="303"/>
    </row>
    <row r="7" spans="1:24" s="304" customFormat="1" ht="16" customHeight="1">
      <c r="A7" s="189" t="s">
        <v>291</v>
      </c>
      <c r="B7" s="90"/>
      <c r="C7" s="139"/>
      <c r="D7" s="139"/>
      <c r="E7" s="140"/>
      <c r="F7" s="247"/>
      <c r="G7" s="256"/>
      <c r="H7" s="256"/>
      <c r="I7" s="256"/>
      <c r="J7" s="247"/>
      <c r="K7" s="247"/>
      <c r="L7" s="247"/>
      <c r="M7" s="255"/>
      <c r="N7" s="247"/>
      <c r="O7" s="255"/>
      <c r="P7" s="247"/>
      <c r="Q7" s="247"/>
      <c r="R7" s="256"/>
      <c r="S7" s="256"/>
      <c r="T7" s="255"/>
      <c r="U7" s="255"/>
      <c r="V7" s="247"/>
      <c r="W7" s="247"/>
      <c r="X7" s="303"/>
    </row>
    <row r="8" spans="1:24" s="304" customFormat="1" ht="16.75" customHeight="1" thickBot="1">
      <c r="A8" s="190" t="s">
        <v>292</v>
      </c>
      <c r="B8" s="305"/>
      <c r="C8" s="143"/>
      <c r="D8" s="143"/>
      <c r="E8" s="144"/>
      <c r="F8" s="247"/>
      <c r="G8" s="256"/>
      <c r="H8" s="256"/>
      <c r="I8" s="256"/>
      <c r="J8" s="247"/>
      <c r="K8" s="247"/>
      <c r="L8" s="247"/>
      <c r="M8" s="255"/>
      <c r="N8" s="247"/>
      <c r="O8" s="255"/>
      <c r="P8" s="247"/>
      <c r="Q8" s="247"/>
      <c r="R8" s="256"/>
      <c r="S8" s="256"/>
      <c r="T8" s="255"/>
      <c r="U8" s="255"/>
      <c r="V8" s="247"/>
      <c r="W8" s="247"/>
      <c r="X8" s="303"/>
    </row>
    <row r="9" spans="1:24" s="304" customFormat="1" ht="24" customHeight="1" thickBot="1">
      <c r="A9" s="148" t="s">
        <v>293</v>
      </c>
      <c r="B9" s="306" t="s">
        <v>294</v>
      </c>
      <c r="C9" s="147">
        <v>41540</v>
      </c>
      <c r="D9" s="148" t="s">
        <v>295</v>
      </c>
      <c r="E9" s="147">
        <f>C9+14</f>
        <v>41554</v>
      </c>
      <c r="F9" s="247"/>
      <c r="G9" s="256"/>
      <c r="H9" s="256"/>
      <c r="I9" s="256"/>
      <c r="J9" s="247"/>
      <c r="K9" s="247"/>
      <c r="L9" s="247"/>
      <c r="M9" s="255"/>
      <c r="N9" s="247"/>
      <c r="O9" s="255"/>
      <c r="P9" s="247"/>
      <c r="Q9" s="247"/>
      <c r="R9" s="256"/>
      <c r="S9" s="256"/>
      <c r="T9" s="255"/>
      <c r="U9" s="255"/>
      <c r="V9" s="247"/>
      <c r="W9" s="247"/>
      <c r="X9" s="303"/>
    </row>
    <row r="10" spans="1:24" s="304" customFormat="1" ht="21" customHeight="1" thickBot="1">
      <c r="A10" s="191" t="s">
        <v>296</v>
      </c>
      <c r="B10" s="90">
        <f>J98</f>
        <v>3405651</v>
      </c>
      <c r="C10" s="139"/>
      <c r="D10" s="139"/>
      <c r="E10" s="140"/>
      <c r="F10" s="247"/>
      <c r="G10" s="256"/>
      <c r="H10" s="256"/>
      <c r="I10" s="256"/>
      <c r="J10" s="247"/>
      <c r="K10" s="247"/>
      <c r="L10" s="247"/>
      <c r="M10" s="255"/>
      <c r="N10" s="247"/>
      <c r="O10" s="255"/>
      <c r="P10" s="247"/>
      <c r="Q10" s="247"/>
      <c r="R10" s="256"/>
      <c r="S10" s="256"/>
      <c r="T10" s="255"/>
      <c r="U10" s="255"/>
      <c r="V10" s="247"/>
      <c r="W10" s="247"/>
      <c r="X10" s="303"/>
    </row>
    <row r="11" spans="1:24" s="304" customFormat="1" ht="22" customHeight="1" thickBot="1">
      <c r="A11" s="718" t="s">
        <v>297</v>
      </c>
      <c r="B11" s="719"/>
      <c r="C11" s="153">
        <v>41509</v>
      </c>
      <c r="D11" s="154" t="s">
        <v>298</v>
      </c>
      <c r="E11" s="147">
        <v>41540</v>
      </c>
      <c r="F11" s="247"/>
      <c r="G11" s="256"/>
      <c r="H11" s="256"/>
      <c r="I11" s="256"/>
      <c r="J11" s="247"/>
      <c r="K11" s="247"/>
      <c r="L11" s="247"/>
      <c r="M11" s="255"/>
      <c r="N11" s="247"/>
      <c r="O11" s="255"/>
      <c r="P11" s="247"/>
      <c r="Q11" s="247"/>
      <c r="R11" s="256"/>
      <c r="S11" s="256"/>
      <c r="T11" s="255"/>
      <c r="U11" s="255"/>
      <c r="V11" s="247"/>
      <c r="W11" s="247"/>
      <c r="X11" s="303"/>
    </row>
    <row r="12" spans="1:24" s="304" customFormat="1" ht="23.25" customHeight="1" thickBot="1">
      <c r="A12" s="185" t="s">
        <v>299</v>
      </c>
      <c r="B12" s="307"/>
      <c r="C12" s="128"/>
      <c r="D12" s="128"/>
      <c r="E12" s="129"/>
      <c r="F12" s="247"/>
      <c r="G12" s="256"/>
      <c r="H12" s="256"/>
      <c r="I12" s="256"/>
      <c r="J12" s="247"/>
      <c r="K12" s="247"/>
      <c r="L12" s="247"/>
      <c r="M12" s="255"/>
      <c r="N12" s="247"/>
      <c r="O12" s="255"/>
      <c r="P12" s="247"/>
      <c r="Q12" s="247"/>
      <c r="R12" s="256"/>
      <c r="S12" s="256"/>
      <c r="T12" s="255"/>
      <c r="U12" s="255"/>
      <c r="V12" s="247"/>
      <c r="W12" s="247"/>
      <c r="X12" s="303"/>
    </row>
    <row r="13" spans="1:24" s="304" customFormat="1" ht="19.75" customHeight="1" thickBot="1">
      <c r="A13" s="195">
        <f>E11</f>
        <v>41540</v>
      </c>
      <c r="B13" s="307"/>
      <c r="C13" s="128"/>
      <c r="D13" s="128"/>
      <c r="E13" s="129"/>
      <c r="F13" s="247"/>
      <c r="G13" s="256"/>
      <c r="H13" s="256"/>
      <c r="I13" s="256"/>
      <c r="J13" s="247"/>
      <c r="K13" s="247"/>
      <c r="L13" s="247"/>
      <c r="M13" s="255"/>
      <c r="N13" s="247"/>
      <c r="O13" s="255"/>
      <c r="P13" s="247"/>
      <c r="Q13" s="247"/>
      <c r="R13" s="256"/>
      <c r="S13" s="256"/>
      <c r="T13" s="255"/>
      <c r="U13" s="255"/>
      <c r="V13" s="247"/>
      <c r="W13" s="247"/>
      <c r="X13" s="303"/>
    </row>
    <row r="14" spans="1:24" s="116" customFormat="1" ht="27" customHeight="1">
      <c r="A14" s="308" t="s">
        <v>370</v>
      </c>
      <c r="B14" s="286" t="s">
        <v>300</v>
      </c>
      <c r="C14" s="267" t="s">
        <v>301</v>
      </c>
      <c r="D14" s="267" t="s">
        <v>302</v>
      </c>
      <c r="E14" s="267" t="s">
        <v>303</v>
      </c>
      <c r="F14" s="267" t="s">
        <v>304</v>
      </c>
      <c r="G14" s="268" t="s">
        <v>305</v>
      </c>
      <c r="H14" s="268" t="s">
        <v>306</v>
      </c>
      <c r="I14" s="268" t="s">
        <v>307</v>
      </c>
      <c r="J14" s="267" t="s">
        <v>308</v>
      </c>
      <c r="K14" s="267" t="s">
        <v>309</v>
      </c>
      <c r="L14" s="267" t="s">
        <v>310</v>
      </c>
      <c r="M14" s="267" t="s">
        <v>311</v>
      </c>
      <c r="N14" s="267" t="s">
        <v>312</v>
      </c>
      <c r="O14" s="267" t="s">
        <v>313</v>
      </c>
      <c r="P14" s="267" t="s">
        <v>314</v>
      </c>
      <c r="Q14" s="267" t="s">
        <v>315</v>
      </c>
      <c r="R14" s="268" t="s">
        <v>316</v>
      </c>
      <c r="S14" s="267" t="s">
        <v>317</v>
      </c>
      <c r="T14" s="267" t="s">
        <v>318</v>
      </c>
      <c r="U14" s="267" t="s">
        <v>319</v>
      </c>
      <c r="V14" s="267" t="s">
        <v>320</v>
      </c>
      <c r="W14" s="267" t="s">
        <v>321</v>
      </c>
      <c r="X14" s="268" t="s">
        <v>322</v>
      </c>
    </row>
    <row r="15" spans="1:24" s="116" customFormat="1" ht="22" customHeight="1">
      <c r="A15" s="117">
        <v>143027007</v>
      </c>
      <c r="B15" s="289" t="s">
        <v>323</v>
      </c>
      <c r="C15" s="241" t="s">
        <v>324</v>
      </c>
      <c r="D15" s="309" t="s">
        <v>325</v>
      </c>
      <c r="E15" s="241" t="s">
        <v>326</v>
      </c>
      <c r="F15" s="309" t="s">
        <v>325</v>
      </c>
      <c r="G15" s="243">
        <v>23.11</v>
      </c>
      <c r="H15" s="243">
        <v>0</v>
      </c>
      <c r="I15" s="243">
        <v>23.11</v>
      </c>
      <c r="J15" s="244">
        <v>41537</v>
      </c>
      <c r="K15" s="244">
        <v>41534</v>
      </c>
      <c r="L15" s="246">
        <v>28</v>
      </c>
      <c r="M15" s="241" t="s">
        <v>327</v>
      </c>
      <c r="N15" s="246" t="s">
        <v>328</v>
      </c>
      <c r="O15" s="245">
        <v>43</v>
      </c>
      <c r="P15" s="247"/>
      <c r="Q15" s="247"/>
      <c r="R15" s="243">
        <v>23.11</v>
      </c>
      <c r="S15" s="255"/>
      <c r="T15" s="255"/>
      <c r="U15" s="309" t="s">
        <v>325</v>
      </c>
      <c r="V15" s="309" t="s">
        <v>325</v>
      </c>
      <c r="W15" s="255"/>
      <c r="X15" s="243">
        <v>0</v>
      </c>
    </row>
    <row r="16" spans="1:24" s="116" customFormat="1" ht="22" customHeight="1">
      <c r="A16" s="117">
        <v>173880101</v>
      </c>
      <c r="B16" s="289" t="s">
        <v>323</v>
      </c>
      <c r="C16" s="241" t="s">
        <v>329</v>
      </c>
      <c r="D16" s="309" t="s">
        <v>325</v>
      </c>
      <c r="E16" s="241" t="s">
        <v>330</v>
      </c>
      <c r="F16" s="309" t="s">
        <v>325</v>
      </c>
      <c r="G16" s="243">
        <v>10.19</v>
      </c>
      <c r="H16" s="243">
        <v>0</v>
      </c>
      <c r="I16" s="243">
        <v>10.19</v>
      </c>
      <c r="J16" s="244">
        <v>41537</v>
      </c>
      <c r="K16" s="244">
        <v>41537</v>
      </c>
      <c r="L16" s="246">
        <v>29</v>
      </c>
      <c r="M16" s="241" t="s">
        <v>327</v>
      </c>
      <c r="N16" s="310" t="s">
        <v>325</v>
      </c>
      <c r="O16" s="245">
        <v>54</v>
      </c>
      <c r="P16" s="247"/>
      <c r="Q16" s="247"/>
      <c r="R16" s="243">
        <v>10.19</v>
      </c>
      <c r="S16" s="255"/>
      <c r="T16" s="255"/>
      <c r="U16" s="309" t="s">
        <v>325</v>
      </c>
      <c r="V16" s="309" t="s">
        <v>325</v>
      </c>
      <c r="W16" s="255"/>
      <c r="X16" s="243">
        <v>0</v>
      </c>
    </row>
    <row r="17" spans="1:24" s="116" customFormat="1" ht="22" customHeight="1">
      <c r="A17" s="117">
        <v>208811116</v>
      </c>
      <c r="B17" s="289" t="s">
        <v>323</v>
      </c>
      <c r="C17" s="241" t="s">
        <v>331</v>
      </c>
      <c r="D17" s="309" t="s">
        <v>325</v>
      </c>
      <c r="E17" s="241" t="s">
        <v>332</v>
      </c>
      <c r="F17" s="309" t="s">
        <v>325</v>
      </c>
      <c r="G17" s="243">
        <v>161.09</v>
      </c>
      <c r="H17" s="243">
        <v>0</v>
      </c>
      <c r="I17" s="243">
        <v>161.09</v>
      </c>
      <c r="J17" s="244">
        <v>41530</v>
      </c>
      <c r="K17" s="244">
        <v>41527</v>
      </c>
      <c r="L17" s="246">
        <v>32</v>
      </c>
      <c r="M17" s="241" t="s">
        <v>327</v>
      </c>
      <c r="N17" s="246" t="s">
        <v>333</v>
      </c>
      <c r="O17" s="245">
        <v>1558</v>
      </c>
      <c r="P17" s="245">
        <v>9.4</v>
      </c>
      <c r="Q17" s="245">
        <v>0.21581338652482271</v>
      </c>
      <c r="R17" s="243">
        <v>161.09</v>
      </c>
      <c r="S17" s="255"/>
      <c r="T17" s="255"/>
      <c r="U17" s="309" t="s">
        <v>325</v>
      </c>
      <c r="V17" s="309" t="s">
        <v>325</v>
      </c>
      <c r="W17" s="255"/>
      <c r="X17" s="243">
        <v>0</v>
      </c>
    </row>
    <row r="18" spans="1:24" s="116" customFormat="1" ht="22" customHeight="1">
      <c r="A18" s="117">
        <v>248811109</v>
      </c>
      <c r="B18" s="289" t="s">
        <v>323</v>
      </c>
      <c r="C18" s="241" t="s">
        <v>334</v>
      </c>
      <c r="D18" s="309" t="s">
        <v>325</v>
      </c>
      <c r="E18" s="309" t="s">
        <v>325</v>
      </c>
      <c r="F18" s="241" t="s">
        <v>335</v>
      </c>
      <c r="G18" s="243">
        <v>44.37</v>
      </c>
      <c r="H18" s="243">
        <v>0</v>
      </c>
      <c r="I18" s="243">
        <v>44.37</v>
      </c>
      <c r="J18" s="244">
        <v>41530</v>
      </c>
      <c r="K18" s="247"/>
      <c r="L18" s="255"/>
      <c r="M18" s="309" t="s">
        <v>325</v>
      </c>
      <c r="N18" s="310" t="s">
        <v>325</v>
      </c>
      <c r="O18" s="247"/>
      <c r="P18" s="247"/>
      <c r="Q18" s="247"/>
      <c r="R18" s="243">
        <v>0</v>
      </c>
      <c r="S18" s="311">
        <v>41528</v>
      </c>
      <c r="T18" s="246">
        <v>30</v>
      </c>
      <c r="U18" s="241" t="s">
        <v>327</v>
      </c>
      <c r="V18" s="241" t="s">
        <v>336</v>
      </c>
      <c r="W18" s="246">
        <v>65</v>
      </c>
      <c r="X18" s="243">
        <v>44.37</v>
      </c>
    </row>
    <row r="19" spans="1:24" s="116" customFormat="1" ht="22" customHeight="1">
      <c r="A19" s="117">
        <v>288811101</v>
      </c>
      <c r="B19" s="289" t="s">
        <v>323</v>
      </c>
      <c r="C19" s="241" t="s">
        <v>337</v>
      </c>
      <c r="D19" s="309" t="s">
        <v>325</v>
      </c>
      <c r="E19" s="241" t="s">
        <v>332</v>
      </c>
      <c r="F19" s="309" t="s">
        <v>325</v>
      </c>
      <c r="G19" s="243">
        <v>517.34</v>
      </c>
      <c r="H19" s="243">
        <v>0</v>
      </c>
      <c r="I19" s="243">
        <v>517.34</v>
      </c>
      <c r="J19" s="244">
        <v>41530</v>
      </c>
      <c r="K19" s="244">
        <v>41527</v>
      </c>
      <c r="L19" s="246">
        <v>32</v>
      </c>
      <c r="M19" s="241" t="s">
        <v>327</v>
      </c>
      <c r="N19" s="246" t="s">
        <v>338</v>
      </c>
      <c r="O19" s="245">
        <v>10560</v>
      </c>
      <c r="P19" s="245">
        <v>37.6</v>
      </c>
      <c r="Q19" s="245">
        <v>0.36569148936170215</v>
      </c>
      <c r="R19" s="243">
        <v>517.34</v>
      </c>
      <c r="S19" s="255"/>
      <c r="T19" s="255"/>
      <c r="U19" s="309" t="s">
        <v>325</v>
      </c>
      <c r="V19" s="309" t="s">
        <v>325</v>
      </c>
      <c r="W19" s="255"/>
      <c r="X19" s="243">
        <v>0</v>
      </c>
    </row>
    <row r="20" spans="1:24" s="116" customFormat="1" ht="22" customHeight="1">
      <c r="A20" s="117">
        <v>293879106</v>
      </c>
      <c r="B20" s="289" t="s">
        <v>323</v>
      </c>
      <c r="C20" s="241" t="s">
        <v>339</v>
      </c>
      <c r="D20" s="241" t="s">
        <v>340</v>
      </c>
      <c r="E20" s="241" t="s">
        <v>330</v>
      </c>
      <c r="F20" s="309" t="s">
        <v>325</v>
      </c>
      <c r="G20" s="243">
        <v>249.85</v>
      </c>
      <c r="H20" s="243">
        <v>0</v>
      </c>
      <c r="I20" s="243">
        <v>249.85</v>
      </c>
      <c r="J20" s="244">
        <v>41537</v>
      </c>
      <c r="K20" s="244">
        <v>41537</v>
      </c>
      <c r="L20" s="246">
        <v>29</v>
      </c>
      <c r="M20" s="241" t="s">
        <v>327</v>
      </c>
      <c r="N20" s="310" t="s">
        <v>325</v>
      </c>
      <c r="O20" s="245">
        <v>666</v>
      </c>
      <c r="P20" s="247"/>
      <c r="Q20" s="247"/>
      <c r="R20" s="243">
        <v>249.85</v>
      </c>
      <c r="S20" s="255"/>
      <c r="T20" s="255"/>
      <c r="U20" s="309" t="s">
        <v>325</v>
      </c>
      <c r="V20" s="309" t="s">
        <v>325</v>
      </c>
      <c r="W20" s="255"/>
      <c r="X20" s="243">
        <v>0</v>
      </c>
    </row>
    <row r="21" spans="1:24" s="116" customFormat="1" ht="22" customHeight="1">
      <c r="A21" s="117">
        <v>308809118</v>
      </c>
      <c r="B21" s="289" t="s">
        <v>323</v>
      </c>
      <c r="C21" s="241" t="s">
        <v>341</v>
      </c>
      <c r="D21" s="309" t="s">
        <v>325</v>
      </c>
      <c r="E21" s="241" t="s">
        <v>342</v>
      </c>
      <c r="F21" s="241" t="s">
        <v>236</v>
      </c>
      <c r="G21" s="243">
        <v>77.61</v>
      </c>
      <c r="H21" s="243">
        <v>0</v>
      </c>
      <c r="I21" s="243">
        <v>77.61</v>
      </c>
      <c r="J21" s="244">
        <v>41530</v>
      </c>
      <c r="K21" s="244">
        <v>41528</v>
      </c>
      <c r="L21" s="246">
        <v>30</v>
      </c>
      <c r="M21" s="241" t="s">
        <v>327</v>
      </c>
      <c r="N21" s="246" t="s">
        <v>237</v>
      </c>
      <c r="O21" s="245">
        <v>255</v>
      </c>
      <c r="P21" s="247"/>
      <c r="Q21" s="247"/>
      <c r="R21" s="243">
        <v>28.81</v>
      </c>
      <c r="S21" s="311">
        <v>41528</v>
      </c>
      <c r="T21" s="246">
        <v>30</v>
      </c>
      <c r="U21" s="241" t="s">
        <v>327</v>
      </c>
      <c r="V21" s="241" t="s">
        <v>238</v>
      </c>
      <c r="W21" s="246">
        <v>36</v>
      </c>
      <c r="X21" s="243">
        <v>48.8</v>
      </c>
    </row>
    <row r="22" spans="1:24" s="116" customFormat="1" ht="22" customHeight="1">
      <c r="A22" s="117">
        <v>375074007</v>
      </c>
      <c r="B22" s="289" t="s">
        <v>323</v>
      </c>
      <c r="C22" s="241" t="s">
        <v>239</v>
      </c>
      <c r="D22" s="309" t="s">
        <v>325</v>
      </c>
      <c r="E22" s="241" t="s">
        <v>326</v>
      </c>
      <c r="F22" s="309" t="s">
        <v>325</v>
      </c>
      <c r="G22" s="243">
        <v>33.39</v>
      </c>
      <c r="H22" s="243">
        <v>0</v>
      </c>
      <c r="I22" s="243">
        <v>33.39</v>
      </c>
      <c r="J22" s="244">
        <v>41537</v>
      </c>
      <c r="K22" s="244">
        <v>41534</v>
      </c>
      <c r="L22" s="246">
        <v>28</v>
      </c>
      <c r="M22" s="241" t="s">
        <v>327</v>
      </c>
      <c r="N22" s="246" t="s">
        <v>129</v>
      </c>
      <c r="O22" s="245">
        <v>220</v>
      </c>
      <c r="P22" s="247"/>
      <c r="Q22" s="247"/>
      <c r="R22" s="243">
        <v>33.39</v>
      </c>
      <c r="S22" s="255"/>
      <c r="T22" s="255"/>
      <c r="U22" s="309" t="s">
        <v>325</v>
      </c>
      <c r="V22" s="309" t="s">
        <v>325</v>
      </c>
      <c r="W22" s="255"/>
      <c r="X22" s="243">
        <v>0</v>
      </c>
    </row>
    <row r="23" spans="1:24" s="116" customFormat="1" ht="22" customHeight="1">
      <c r="A23" s="117">
        <v>783104003</v>
      </c>
      <c r="B23" s="289" t="s">
        <v>323</v>
      </c>
      <c r="C23" s="241" t="s">
        <v>242</v>
      </c>
      <c r="D23" s="309" t="s">
        <v>325</v>
      </c>
      <c r="E23" s="241" t="s">
        <v>326</v>
      </c>
      <c r="F23" s="309" t="s">
        <v>325</v>
      </c>
      <c r="G23" s="243">
        <v>21.62</v>
      </c>
      <c r="H23" s="243">
        <v>0</v>
      </c>
      <c r="I23" s="243">
        <v>21.62</v>
      </c>
      <c r="J23" s="244">
        <v>41530</v>
      </c>
      <c r="K23" s="244">
        <v>41527</v>
      </c>
      <c r="L23" s="246">
        <v>32</v>
      </c>
      <c r="M23" s="241" t="s">
        <v>327</v>
      </c>
      <c r="N23" s="246" t="s">
        <v>243</v>
      </c>
      <c r="O23" s="245">
        <v>17</v>
      </c>
      <c r="P23" s="247"/>
      <c r="Q23" s="247"/>
      <c r="R23" s="243">
        <v>21.62</v>
      </c>
      <c r="S23" s="255"/>
      <c r="T23" s="255"/>
      <c r="U23" s="309" t="s">
        <v>325</v>
      </c>
      <c r="V23" s="309" t="s">
        <v>325</v>
      </c>
      <c r="W23" s="255"/>
      <c r="X23" s="243">
        <v>0</v>
      </c>
    </row>
    <row r="24" spans="1:24" s="116" customFormat="1" ht="22" customHeight="1">
      <c r="A24" s="117">
        <v>852028007</v>
      </c>
      <c r="B24" s="289" t="s">
        <v>323</v>
      </c>
      <c r="C24" s="241" t="s">
        <v>244</v>
      </c>
      <c r="D24" s="309" t="s">
        <v>325</v>
      </c>
      <c r="E24" s="309" t="s">
        <v>325</v>
      </c>
      <c r="F24" s="241" t="s">
        <v>335</v>
      </c>
      <c r="G24" s="243">
        <v>26.59</v>
      </c>
      <c r="H24" s="243">
        <v>0</v>
      </c>
      <c r="I24" s="243">
        <v>26.59</v>
      </c>
      <c r="J24" s="244">
        <v>41537</v>
      </c>
      <c r="K24" s="247"/>
      <c r="L24" s="255"/>
      <c r="M24" s="309" t="s">
        <v>325</v>
      </c>
      <c r="N24" s="310" t="s">
        <v>325</v>
      </c>
      <c r="O24" s="247"/>
      <c r="P24" s="247"/>
      <c r="Q24" s="247"/>
      <c r="R24" s="243">
        <v>0</v>
      </c>
      <c r="S24" s="311">
        <v>41534</v>
      </c>
      <c r="T24" s="246">
        <v>28</v>
      </c>
      <c r="U24" s="241" t="s">
        <v>327</v>
      </c>
      <c r="V24" s="241" t="s">
        <v>245</v>
      </c>
      <c r="W24" s="246">
        <v>11</v>
      </c>
      <c r="X24" s="243">
        <v>26.59</v>
      </c>
    </row>
    <row r="25" spans="1:24" s="116" customFormat="1" ht="22" customHeight="1">
      <c r="A25" s="117">
        <v>893816110</v>
      </c>
      <c r="B25" s="289" t="s">
        <v>323</v>
      </c>
      <c r="C25" s="241" t="s">
        <v>246</v>
      </c>
      <c r="D25" s="309" t="s">
        <v>325</v>
      </c>
      <c r="E25" s="241" t="s">
        <v>326</v>
      </c>
      <c r="F25" s="309" t="s">
        <v>325</v>
      </c>
      <c r="G25" s="243">
        <v>25.85</v>
      </c>
      <c r="H25" s="243">
        <v>0</v>
      </c>
      <c r="I25" s="243">
        <v>25.85</v>
      </c>
      <c r="J25" s="244">
        <v>41537</v>
      </c>
      <c r="K25" s="244">
        <v>41534</v>
      </c>
      <c r="L25" s="246">
        <v>29</v>
      </c>
      <c r="M25" s="241" t="s">
        <v>327</v>
      </c>
      <c r="N25" s="246" t="s">
        <v>133</v>
      </c>
      <c r="O25" s="245">
        <v>90</v>
      </c>
      <c r="P25" s="247"/>
      <c r="Q25" s="247"/>
      <c r="R25" s="243">
        <v>25.85</v>
      </c>
      <c r="S25" s="255"/>
      <c r="T25" s="255"/>
      <c r="U25" s="309" t="s">
        <v>325</v>
      </c>
      <c r="V25" s="309" t="s">
        <v>325</v>
      </c>
      <c r="W25" s="255"/>
      <c r="X25" s="243">
        <v>0</v>
      </c>
    </row>
    <row r="26" spans="1:24" s="116" customFormat="1" ht="22" customHeight="1">
      <c r="A26" s="117">
        <v>893819102</v>
      </c>
      <c r="B26" s="289" t="s">
        <v>323</v>
      </c>
      <c r="C26" s="241" t="s">
        <v>248</v>
      </c>
      <c r="D26" s="309" t="s">
        <v>325</v>
      </c>
      <c r="E26" s="309" t="s">
        <v>325</v>
      </c>
      <c r="F26" s="241" t="s">
        <v>335</v>
      </c>
      <c r="G26" s="243">
        <v>23.77</v>
      </c>
      <c r="H26" s="243">
        <v>0</v>
      </c>
      <c r="I26" s="243">
        <v>23.77</v>
      </c>
      <c r="J26" s="244">
        <v>41537</v>
      </c>
      <c r="K26" s="247"/>
      <c r="L26" s="255"/>
      <c r="M26" s="309" t="s">
        <v>325</v>
      </c>
      <c r="N26" s="310" t="s">
        <v>325</v>
      </c>
      <c r="O26" s="247"/>
      <c r="P26" s="247"/>
      <c r="Q26" s="247"/>
      <c r="R26" s="243">
        <v>0</v>
      </c>
      <c r="S26" s="311">
        <v>41534</v>
      </c>
      <c r="T26" s="246">
        <v>28</v>
      </c>
      <c r="U26" s="241" t="s">
        <v>327</v>
      </c>
      <c r="V26" s="241" t="s">
        <v>249</v>
      </c>
      <c r="W26" s="246">
        <v>0</v>
      </c>
      <c r="X26" s="243">
        <v>23.77</v>
      </c>
    </row>
    <row r="27" spans="1:24" s="116" customFormat="1" ht="22" customHeight="1">
      <c r="A27" s="117">
        <v>913819100</v>
      </c>
      <c r="B27" s="289" t="s">
        <v>323</v>
      </c>
      <c r="C27" s="241" t="s">
        <v>250</v>
      </c>
      <c r="D27" s="309" t="s">
        <v>325</v>
      </c>
      <c r="E27" s="309" t="s">
        <v>325</v>
      </c>
      <c r="F27" s="241" t="s">
        <v>335</v>
      </c>
      <c r="G27" s="243">
        <v>23.77</v>
      </c>
      <c r="H27" s="243">
        <v>0</v>
      </c>
      <c r="I27" s="243">
        <v>23.77</v>
      </c>
      <c r="J27" s="244">
        <v>41537</v>
      </c>
      <c r="K27" s="247"/>
      <c r="L27" s="255"/>
      <c r="M27" s="309" t="s">
        <v>325</v>
      </c>
      <c r="N27" s="310" t="s">
        <v>325</v>
      </c>
      <c r="O27" s="247"/>
      <c r="P27" s="247"/>
      <c r="Q27" s="247"/>
      <c r="R27" s="243">
        <v>0</v>
      </c>
      <c r="S27" s="311">
        <v>41534</v>
      </c>
      <c r="T27" s="246">
        <v>28</v>
      </c>
      <c r="U27" s="241" t="s">
        <v>327</v>
      </c>
      <c r="V27" s="241" t="s">
        <v>251</v>
      </c>
      <c r="W27" s="246">
        <v>0</v>
      </c>
      <c r="X27" s="243">
        <v>23.77</v>
      </c>
    </row>
    <row r="28" spans="1:24" s="116" customFormat="1" ht="22" customHeight="1">
      <c r="A28" s="117">
        <v>933819115</v>
      </c>
      <c r="B28" s="289" t="s">
        <v>323</v>
      </c>
      <c r="C28" s="241" t="s">
        <v>252</v>
      </c>
      <c r="D28" s="309" t="s">
        <v>325</v>
      </c>
      <c r="E28" s="309" t="s">
        <v>325</v>
      </c>
      <c r="F28" s="241" t="s">
        <v>335</v>
      </c>
      <c r="G28" s="243">
        <v>23.77</v>
      </c>
      <c r="H28" s="243">
        <v>0</v>
      </c>
      <c r="I28" s="243">
        <v>23.77</v>
      </c>
      <c r="J28" s="244">
        <v>41537</v>
      </c>
      <c r="K28" s="247"/>
      <c r="L28" s="255"/>
      <c r="M28" s="309" t="s">
        <v>325</v>
      </c>
      <c r="N28" s="310" t="s">
        <v>325</v>
      </c>
      <c r="O28" s="247"/>
      <c r="P28" s="247"/>
      <c r="Q28" s="247"/>
      <c r="R28" s="243">
        <v>0</v>
      </c>
      <c r="S28" s="311">
        <v>41534</v>
      </c>
      <c r="T28" s="246">
        <v>28</v>
      </c>
      <c r="U28" s="241" t="s">
        <v>327</v>
      </c>
      <c r="V28" s="241" t="s">
        <v>253</v>
      </c>
      <c r="W28" s="246">
        <v>0</v>
      </c>
      <c r="X28" s="243">
        <v>23.77</v>
      </c>
    </row>
    <row r="29" spans="1:24" s="116" customFormat="1" ht="22" customHeight="1">
      <c r="A29" s="117">
        <v>948810124</v>
      </c>
      <c r="B29" s="289" t="s">
        <v>323</v>
      </c>
      <c r="C29" s="241" t="s">
        <v>254</v>
      </c>
      <c r="D29" s="309" t="s">
        <v>325</v>
      </c>
      <c r="E29" s="241" t="s">
        <v>255</v>
      </c>
      <c r="F29" s="309" t="s">
        <v>325</v>
      </c>
      <c r="G29" s="243">
        <v>65.849999999999994</v>
      </c>
      <c r="H29" s="243">
        <v>0</v>
      </c>
      <c r="I29" s="243">
        <v>65.849999999999994</v>
      </c>
      <c r="J29" s="244">
        <v>41530</v>
      </c>
      <c r="K29" s="244">
        <v>41527</v>
      </c>
      <c r="L29" s="246">
        <v>32</v>
      </c>
      <c r="M29" s="241" t="s">
        <v>327</v>
      </c>
      <c r="N29" s="246" t="s">
        <v>256</v>
      </c>
      <c r="O29" s="245">
        <v>369</v>
      </c>
      <c r="P29" s="247"/>
      <c r="Q29" s="247"/>
      <c r="R29" s="243">
        <v>65.849999999999994</v>
      </c>
      <c r="S29" s="255"/>
      <c r="T29" s="255"/>
      <c r="U29" s="309" t="s">
        <v>325</v>
      </c>
      <c r="V29" s="309" t="s">
        <v>325</v>
      </c>
      <c r="W29" s="255"/>
      <c r="X29" s="243">
        <v>0</v>
      </c>
    </row>
    <row r="30" spans="1:24" s="116" customFormat="1" ht="22" customHeight="1">
      <c r="A30" s="117">
        <v>1028809119</v>
      </c>
      <c r="B30" s="289" t="s">
        <v>323</v>
      </c>
      <c r="C30" s="241" t="s">
        <v>257</v>
      </c>
      <c r="D30" s="309" t="s">
        <v>325</v>
      </c>
      <c r="E30" s="241" t="s">
        <v>255</v>
      </c>
      <c r="F30" s="309" t="s">
        <v>325</v>
      </c>
      <c r="G30" s="243">
        <v>20.62</v>
      </c>
      <c r="H30" s="243">
        <v>0</v>
      </c>
      <c r="I30" s="243">
        <v>20.62</v>
      </c>
      <c r="J30" s="244">
        <v>41530</v>
      </c>
      <c r="K30" s="244">
        <v>41528</v>
      </c>
      <c r="L30" s="246">
        <v>30</v>
      </c>
      <c r="M30" s="241" t="s">
        <v>327</v>
      </c>
      <c r="N30" s="246" t="s">
        <v>258</v>
      </c>
      <c r="O30" s="245">
        <v>0</v>
      </c>
      <c r="P30" s="247"/>
      <c r="Q30" s="247"/>
      <c r="R30" s="243">
        <v>20.62</v>
      </c>
      <c r="S30" s="255"/>
      <c r="T30" s="255"/>
      <c r="U30" s="309" t="s">
        <v>325</v>
      </c>
      <c r="V30" s="309" t="s">
        <v>325</v>
      </c>
      <c r="W30" s="255"/>
      <c r="X30" s="243">
        <v>0</v>
      </c>
    </row>
    <row r="31" spans="1:24" s="116" customFormat="1" ht="22" customHeight="1">
      <c r="A31" s="117">
        <v>1133133008</v>
      </c>
      <c r="B31" s="289" t="s">
        <v>323</v>
      </c>
      <c r="C31" s="241" t="s">
        <v>259</v>
      </c>
      <c r="D31" s="309" t="s">
        <v>325</v>
      </c>
      <c r="E31" s="241" t="s">
        <v>326</v>
      </c>
      <c r="F31" s="309" t="s">
        <v>325</v>
      </c>
      <c r="G31" s="243">
        <v>59.43</v>
      </c>
      <c r="H31" s="243">
        <v>30.16</v>
      </c>
      <c r="I31" s="243">
        <v>29.27</v>
      </c>
      <c r="J31" s="244">
        <v>41526</v>
      </c>
      <c r="K31" s="244">
        <v>41521</v>
      </c>
      <c r="L31" s="246">
        <v>30</v>
      </c>
      <c r="M31" s="241" t="s">
        <v>327</v>
      </c>
      <c r="N31" s="246" t="s">
        <v>260</v>
      </c>
      <c r="O31" s="245">
        <v>149</v>
      </c>
      <c r="P31" s="247"/>
      <c r="Q31" s="247"/>
      <c r="R31" s="243">
        <v>29.27</v>
      </c>
      <c r="S31" s="255"/>
      <c r="T31" s="255"/>
      <c r="U31" s="309" t="s">
        <v>325</v>
      </c>
      <c r="V31" s="309" t="s">
        <v>325</v>
      </c>
      <c r="W31" s="255"/>
      <c r="X31" s="243">
        <v>0</v>
      </c>
    </row>
    <row r="32" spans="1:24" s="116" customFormat="1" ht="22" customHeight="1">
      <c r="A32" s="117">
        <v>1133819101</v>
      </c>
      <c r="B32" s="289" t="s">
        <v>323</v>
      </c>
      <c r="C32" s="241" t="s">
        <v>261</v>
      </c>
      <c r="D32" s="309" t="s">
        <v>325</v>
      </c>
      <c r="E32" s="241" t="s">
        <v>326</v>
      </c>
      <c r="F32" s="309" t="s">
        <v>325</v>
      </c>
      <c r="G32" s="243">
        <v>44.5</v>
      </c>
      <c r="H32" s="243">
        <v>0</v>
      </c>
      <c r="I32" s="243">
        <v>44.5</v>
      </c>
      <c r="J32" s="244">
        <v>41537</v>
      </c>
      <c r="K32" s="244">
        <v>41534</v>
      </c>
      <c r="L32" s="246">
        <v>28</v>
      </c>
      <c r="M32" s="241" t="s">
        <v>327</v>
      </c>
      <c r="N32" s="246" t="s">
        <v>262</v>
      </c>
      <c r="O32" s="245">
        <v>412</v>
      </c>
      <c r="P32" s="247"/>
      <c r="Q32" s="247"/>
      <c r="R32" s="243">
        <v>44.5</v>
      </c>
      <c r="S32" s="255"/>
      <c r="T32" s="255"/>
      <c r="U32" s="309" t="s">
        <v>325</v>
      </c>
      <c r="V32" s="309" t="s">
        <v>325</v>
      </c>
      <c r="W32" s="255"/>
      <c r="X32" s="243">
        <v>0</v>
      </c>
    </row>
    <row r="33" spans="1:24" s="116" customFormat="1" ht="22" customHeight="1">
      <c r="A33" s="117">
        <v>1193808115</v>
      </c>
      <c r="B33" s="289" t="s">
        <v>323</v>
      </c>
      <c r="C33" s="241" t="s">
        <v>263</v>
      </c>
      <c r="D33" s="309" t="s">
        <v>325</v>
      </c>
      <c r="E33" s="241" t="s">
        <v>326</v>
      </c>
      <c r="F33" s="309" t="s">
        <v>325</v>
      </c>
      <c r="G33" s="243">
        <v>24.84</v>
      </c>
      <c r="H33" s="243">
        <v>0</v>
      </c>
      <c r="I33" s="243">
        <v>24.84</v>
      </c>
      <c r="J33" s="244">
        <v>41537</v>
      </c>
      <c r="K33" s="244">
        <v>41534</v>
      </c>
      <c r="L33" s="246">
        <v>28</v>
      </c>
      <c r="M33" s="241" t="s">
        <v>327</v>
      </c>
      <c r="N33" s="246" t="s">
        <v>264</v>
      </c>
      <c r="O33" s="245">
        <v>73</v>
      </c>
      <c r="P33" s="247"/>
      <c r="Q33" s="247"/>
      <c r="R33" s="243">
        <v>24.84</v>
      </c>
      <c r="S33" s="255"/>
      <c r="T33" s="255"/>
      <c r="U33" s="309" t="s">
        <v>325</v>
      </c>
      <c r="V33" s="309" t="s">
        <v>325</v>
      </c>
      <c r="W33" s="255"/>
      <c r="X33" s="243">
        <v>0</v>
      </c>
    </row>
    <row r="34" spans="1:24" s="116" customFormat="1" ht="22" customHeight="1">
      <c r="A34" s="117">
        <v>1492627005</v>
      </c>
      <c r="B34" s="289" t="s">
        <v>323</v>
      </c>
      <c r="C34" s="241" t="s">
        <v>265</v>
      </c>
      <c r="D34" s="309" t="s">
        <v>325</v>
      </c>
      <c r="E34" s="241" t="s">
        <v>326</v>
      </c>
      <c r="F34" s="309" t="s">
        <v>325</v>
      </c>
      <c r="G34" s="243">
        <v>26.08</v>
      </c>
      <c r="H34" s="243">
        <v>0</v>
      </c>
      <c r="I34" s="243">
        <v>26.08</v>
      </c>
      <c r="J34" s="244">
        <v>41530</v>
      </c>
      <c r="K34" s="244">
        <v>41527</v>
      </c>
      <c r="L34" s="246">
        <v>32</v>
      </c>
      <c r="M34" s="241" t="s">
        <v>327</v>
      </c>
      <c r="N34" s="246" t="s">
        <v>266</v>
      </c>
      <c r="O34" s="245">
        <v>94</v>
      </c>
      <c r="P34" s="247"/>
      <c r="Q34" s="247"/>
      <c r="R34" s="243">
        <v>26.08</v>
      </c>
      <c r="S34" s="255"/>
      <c r="T34" s="255"/>
      <c r="U34" s="309" t="s">
        <v>325</v>
      </c>
      <c r="V34" s="309" t="s">
        <v>325</v>
      </c>
      <c r="W34" s="255"/>
      <c r="X34" s="243">
        <v>0</v>
      </c>
    </row>
    <row r="35" spans="1:24" s="116" customFormat="1" ht="22" customHeight="1">
      <c r="A35" s="117">
        <v>1513818115</v>
      </c>
      <c r="B35" s="289" t="s">
        <v>323</v>
      </c>
      <c r="C35" s="241" t="s">
        <v>267</v>
      </c>
      <c r="D35" s="309" t="s">
        <v>325</v>
      </c>
      <c r="E35" s="241" t="s">
        <v>326</v>
      </c>
      <c r="F35" s="309" t="s">
        <v>325</v>
      </c>
      <c r="G35" s="243">
        <v>26.95</v>
      </c>
      <c r="H35" s="243">
        <v>0</v>
      </c>
      <c r="I35" s="243">
        <v>26.95</v>
      </c>
      <c r="J35" s="244">
        <v>41537</v>
      </c>
      <c r="K35" s="244">
        <v>41534</v>
      </c>
      <c r="L35" s="246">
        <v>28</v>
      </c>
      <c r="M35" s="241" t="s">
        <v>327</v>
      </c>
      <c r="N35" s="246" t="s">
        <v>268</v>
      </c>
      <c r="O35" s="245">
        <v>109</v>
      </c>
      <c r="P35" s="247"/>
      <c r="Q35" s="247"/>
      <c r="R35" s="243">
        <v>26.95</v>
      </c>
      <c r="S35" s="255"/>
      <c r="T35" s="255"/>
      <c r="U35" s="309" t="s">
        <v>325</v>
      </c>
      <c r="V35" s="309" t="s">
        <v>325</v>
      </c>
      <c r="W35" s="255"/>
      <c r="X35" s="243">
        <v>0</v>
      </c>
    </row>
    <row r="36" spans="1:24" s="116" customFormat="1" ht="22" customHeight="1">
      <c r="A36" s="117">
        <v>1608811106</v>
      </c>
      <c r="B36" s="289" t="s">
        <v>323</v>
      </c>
      <c r="C36" s="241" t="s">
        <v>337</v>
      </c>
      <c r="D36" s="309" t="s">
        <v>325</v>
      </c>
      <c r="E36" s="241" t="s">
        <v>332</v>
      </c>
      <c r="F36" s="309" t="s">
        <v>325</v>
      </c>
      <c r="G36" s="243">
        <v>647.97</v>
      </c>
      <c r="H36" s="243">
        <v>0</v>
      </c>
      <c r="I36" s="243">
        <v>647.97</v>
      </c>
      <c r="J36" s="244">
        <v>41530</v>
      </c>
      <c r="K36" s="244">
        <v>41527</v>
      </c>
      <c r="L36" s="246">
        <v>32</v>
      </c>
      <c r="M36" s="241" t="s">
        <v>327</v>
      </c>
      <c r="N36" s="246" t="s">
        <v>111</v>
      </c>
      <c r="O36" s="245">
        <v>3725</v>
      </c>
      <c r="P36" s="245">
        <v>54.5</v>
      </c>
      <c r="Q36" s="245">
        <v>8.8995603975535173E-2</v>
      </c>
      <c r="R36" s="243">
        <v>647.97</v>
      </c>
      <c r="S36" s="255"/>
      <c r="T36" s="255"/>
      <c r="U36" s="309" t="s">
        <v>325</v>
      </c>
      <c r="V36" s="309" t="s">
        <v>325</v>
      </c>
      <c r="W36" s="255"/>
      <c r="X36" s="243">
        <v>0</v>
      </c>
    </row>
    <row r="37" spans="1:24" s="116" customFormat="1" ht="22" customHeight="1">
      <c r="A37" s="117">
        <v>1653819107</v>
      </c>
      <c r="B37" s="289" t="s">
        <v>323</v>
      </c>
      <c r="C37" s="241" t="s">
        <v>270</v>
      </c>
      <c r="D37" s="309" t="s">
        <v>325</v>
      </c>
      <c r="E37" s="241" t="s">
        <v>326</v>
      </c>
      <c r="F37" s="309" t="s">
        <v>325</v>
      </c>
      <c r="G37" s="243">
        <v>64.510000000000005</v>
      </c>
      <c r="H37" s="243">
        <v>0</v>
      </c>
      <c r="I37" s="243">
        <v>64.510000000000005</v>
      </c>
      <c r="J37" s="244">
        <v>41537</v>
      </c>
      <c r="K37" s="244">
        <v>41534</v>
      </c>
      <c r="L37" s="246">
        <v>27</v>
      </c>
      <c r="M37" s="241" t="s">
        <v>327</v>
      </c>
      <c r="N37" s="246" t="s">
        <v>271</v>
      </c>
      <c r="O37" s="245">
        <v>757</v>
      </c>
      <c r="P37" s="247"/>
      <c r="Q37" s="247"/>
      <c r="R37" s="243">
        <v>64.510000000000005</v>
      </c>
      <c r="S37" s="255"/>
      <c r="T37" s="255"/>
      <c r="U37" s="309" t="s">
        <v>325</v>
      </c>
      <c r="V37" s="309" t="s">
        <v>325</v>
      </c>
      <c r="W37" s="255"/>
      <c r="X37" s="243">
        <v>0</v>
      </c>
    </row>
    <row r="38" spans="1:24" s="116" customFormat="1" ht="22" customHeight="1">
      <c r="A38" s="117">
        <v>1833820108</v>
      </c>
      <c r="B38" s="289" t="s">
        <v>323</v>
      </c>
      <c r="C38" s="241" t="s">
        <v>272</v>
      </c>
      <c r="D38" s="309" t="s">
        <v>325</v>
      </c>
      <c r="E38" s="241" t="s">
        <v>326</v>
      </c>
      <c r="F38" s="309" t="s">
        <v>325</v>
      </c>
      <c r="G38" s="243">
        <v>67.239999999999995</v>
      </c>
      <c r="H38" s="243">
        <v>0</v>
      </c>
      <c r="I38" s="243">
        <v>67.239999999999995</v>
      </c>
      <c r="J38" s="244">
        <v>41537</v>
      </c>
      <c r="K38" s="244">
        <v>41534</v>
      </c>
      <c r="L38" s="246">
        <v>28</v>
      </c>
      <c r="M38" s="241" t="s">
        <v>327</v>
      </c>
      <c r="N38" s="246" t="s">
        <v>273</v>
      </c>
      <c r="O38" s="245">
        <v>804</v>
      </c>
      <c r="P38" s="247"/>
      <c r="Q38" s="247"/>
      <c r="R38" s="243">
        <v>67.239999999999995</v>
      </c>
      <c r="S38" s="255"/>
      <c r="T38" s="255"/>
      <c r="U38" s="309" t="s">
        <v>325</v>
      </c>
      <c r="V38" s="309" t="s">
        <v>325</v>
      </c>
      <c r="W38" s="255"/>
      <c r="X38" s="243">
        <v>0</v>
      </c>
    </row>
    <row r="39" spans="1:24" s="116" customFormat="1" ht="22" customHeight="1">
      <c r="A39" s="117">
        <v>1851009009</v>
      </c>
      <c r="B39" s="289" t="s">
        <v>323</v>
      </c>
      <c r="C39" s="241" t="s">
        <v>274</v>
      </c>
      <c r="D39" s="309" t="s">
        <v>325</v>
      </c>
      <c r="E39" s="241" t="s">
        <v>326</v>
      </c>
      <c r="F39" s="309" t="s">
        <v>325</v>
      </c>
      <c r="G39" s="243">
        <v>43.75</v>
      </c>
      <c r="H39" s="243">
        <v>0</v>
      </c>
      <c r="I39" s="243">
        <v>43.75</v>
      </c>
      <c r="J39" s="244">
        <v>41537</v>
      </c>
      <c r="K39" s="244">
        <v>41534</v>
      </c>
      <c r="L39" s="246">
        <v>28</v>
      </c>
      <c r="M39" s="241" t="s">
        <v>327</v>
      </c>
      <c r="N39" s="246" t="s">
        <v>275</v>
      </c>
      <c r="O39" s="245">
        <v>399</v>
      </c>
      <c r="P39" s="247"/>
      <c r="Q39" s="247"/>
      <c r="R39" s="243">
        <v>43.75</v>
      </c>
      <c r="S39" s="255"/>
      <c r="T39" s="255"/>
      <c r="U39" s="309" t="s">
        <v>325</v>
      </c>
      <c r="V39" s="309" t="s">
        <v>325</v>
      </c>
      <c r="W39" s="255"/>
      <c r="X39" s="243">
        <v>0</v>
      </c>
    </row>
    <row r="40" spans="1:24" s="116" customFormat="1" ht="22" customHeight="1">
      <c r="A40" s="117">
        <v>1933810131</v>
      </c>
      <c r="B40" s="289" t="s">
        <v>323</v>
      </c>
      <c r="C40" s="241" t="s">
        <v>276</v>
      </c>
      <c r="D40" s="309" t="s">
        <v>325</v>
      </c>
      <c r="E40" s="241" t="s">
        <v>332</v>
      </c>
      <c r="F40" s="241" t="s">
        <v>277</v>
      </c>
      <c r="G40" s="243">
        <v>312.62</v>
      </c>
      <c r="H40" s="243">
        <v>0</v>
      </c>
      <c r="I40" s="243">
        <v>312.62</v>
      </c>
      <c r="J40" s="244">
        <v>41537</v>
      </c>
      <c r="K40" s="244">
        <v>41534</v>
      </c>
      <c r="L40" s="246">
        <v>29</v>
      </c>
      <c r="M40" s="241" t="s">
        <v>327</v>
      </c>
      <c r="N40" s="246" t="s">
        <v>278</v>
      </c>
      <c r="O40" s="245">
        <v>8083</v>
      </c>
      <c r="P40" s="245">
        <v>17.3</v>
      </c>
      <c r="Q40" s="245">
        <v>0.67130091023852245</v>
      </c>
      <c r="R40" s="243">
        <v>288.01</v>
      </c>
      <c r="S40" s="311">
        <v>41534</v>
      </c>
      <c r="T40" s="246">
        <v>28</v>
      </c>
      <c r="U40" s="241" t="s">
        <v>327</v>
      </c>
      <c r="V40" s="241" t="s">
        <v>279</v>
      </c>
      <c r="W40" s="246">
        <v>1</v>
      </c>
      <c r="X40" s="243">
        <v>24.61</v>
      </c>
    </row>
    <row r="41" spans="1:24" s="116" customFormat="1" ht="22" customHeight="1">
      <c r="A41" s="117">
        <v>2133819102</v>
      </c>
      <c r="B41" s="289" t="s">
        <v>323</v>
      </c>
      <c r="C41" s="241" t="s">
        <v>280</v>
      </c>
      <c r="D41" s="309" t="s">
        <v>325</v>
      </c>
      <c r="E41" s="241" t="s">
        <v>332</v>
      </c>
      <c r="F41" s="309" t="s">
        <v>325</v>
      </c>
      <c r="G41" s="243">
        <v>145.36000000000001</v>
      </c>
      <c r="H41" s="243">
        <v>0</v>
      </c>
      <c r="I41" s="243">
        <v>145.36000000000001</v>
      </c>
      <c r="J41" s="244">
        <v>41537</v>
      </c>
      <c r="K41" s="244">
        <v>41534</v>
      </c>
      <c r="L41" s="246">
        <v>29</v>
      </c>
      <c r="M41" s="241" t="s">
        <v>327</v>
      </c>
      <c r="N41" s="246" t="s">
        <v>112</v>
      </c>
      <c r="O41" s="245">
        <v>782</v>
      </c>
      <c r="P41" s="245">
        <v>8.4</v>
      </c>
      <c r="Q41" s="245">
        <v>0.13375752599890531</v>
      </c>
      <c r="R41" s="243">
        <v>145.36000000000001</v>
      </c>
      <c r="S41" s="255"/>
      <c r="T41" s="255"/>
      <c r="U41" s="309" t="s">
        <v>325</v>
      </c>
      <c r="V41" s="309" t="s">
        <v>325</v>
      </c>
      <c r="W41" s="255"/>
      <c r="X41" s="243">
        <v>0</v>
      </c>
    </row>
    <row r="42" spans="1:24" s="116" customFormat="1" ht="22" customHeight="1">
      <c r="A42" s="117">
        <v>2133821120</v>
      </c>
      <c r="B42" s="289" t="s">
        <v>323</v>
      </c>
      <c r="C42" s="241" t="s">
        <v>194</v>
      </c>
      <c r="D42" s="309" t="s">
        <v>325</v>
      </c>
      <c r="E42" s="241" t="s">
        <v>326</v>
      </c>
      <c r="F42" s="309" t="s">
        <v>325</v>
      </c>
      <c r="G42" s="243">
        <v>34.299999999999997</v>
      </c>
      <c r="H42" s="243">
        <v>0</v>
      </c>
      <c r="I42" s="243">
        <v>34.299999999999997</v>
      </c>
      <c r="J42" s="244">
        <v>41537</v>
      </c>
      <c r="K42" s="244">
        <v>41535</v>
      </c>
      <c r="L42" s="246">
        <v>29</v>
      </c>
      <c r="M42" s="241" t="s">
        <v>327</v>
      </c>
      <c r="N42" s="246" t="s">
        <v>195</v>
      </c>
      <c r="O42" s="245">
        <v>236</v>
      </c>
      <c r="P42" s="247"/>
      <c r="Q42" s="247"/>
      <c r="R42" s="243">
        <v>34.299999999999997</v>
      </c>
      <c r="S42" s="255"/>
      <c r="T42" s="255"/>
      <c r="U42" s="309" t="s">
        <v>325</v>
      </c>
      <c r="V42" s="309" t="s">
        <v>325</v>
      </c>
      <c r="W42" s="255"/>
      <c r="X42" s="243">
        <v>0</v>
      </c>
    </row>
    <row r="43" spans="1:24" s="116" customFormat="1" ht="22" customHeight="1">
      <c r="A43" s="117">
        <v>2137454018</v>
      </c>
      <c r="B43" s="289" t="s">
        <v>323</v>
      </c>
      <c r="C43" s="241" t="s">
        <v>196</v>
      </c>
      <c r="D43" s="309" t="s">
        <v>325</v>
      </c>
      <c r="E43" s="241" t="s">
        <v>255</v>
      </c>
      <c r="F43" s="309" t="s">
        <v>325</v>
      </c>
      <c r="G43" s="243">
        <v>21.11</v>
      </c>
      <c r="H43" s="243">
        <v>0</v>
      </c>
      <c r="I43" s="243">
        <v>21.11</v>
      </c>
      <c r="J43" s="244">
        <v>41537</v>
      </c>
      <c r="K43" s="244">
        <v>41534</v>
      </c>
      <c r="L43" s="246">
        <v>28</v>
      </c>
      <c r="M43" s="241" t="s">
        <v>327</v>
      </c>
      <c r="N43" s="246" t="s">
        <v>197</v>
      </c>
      <c r="O43" s="245">
        <v>4</v>
      </c>
      <c r="P43" s="247"/>
      <c r="Q43" s="247"/>
      <c r="R43" s="243">
        <v>21.11</v>
      </c>
      <c r="S43" s="255"/>
      <c r="T43" s="255"/>
      <c r="U43" s="309" t="s">
        <v>325</v>
      </c>
      <c r="V43" s="309" t="s">
        <v>325</v>
      </c>
      <c r="W43" s="255"/>
      <c r="X43" s="243">
        <v>0</v>
      </c>
    </row>
    <row r="44" spans="1:24" s="116" customFormat="1" ht="22" customHeight="1">
      <c r="A44" s="117">
        <v>2217686007</v>
      </c>
      <c r="B44" s="289" t="s">
        <v>323</v>
      </c>
      <c r="C44" s="241" t="s">
        <v>198</v>
      </c>
      <c r="D44" s="309" t="s">
        <v>325</v>
      </c>
      <c r="E44" s="241" t="s">
        <v>255</v>
      </c>
      <c r="F44" s="309" t="s">
        <v>325</v>
      </c>
      <c r="G44" s="243">
        <v>51.84</v>
      </c>
      <c r="H44" s="243">
        <v>0</v>
      </c>
      <c r="I44" s="243">
        <v>51.84</v>
      </c>
      <c r="J44" s="244">
        <v>41537</v>
      </c>
      <c r="K44" s="244">
        <v>41534</v>
      </c>
      <c r="L44" s="246">
        <v>27</v>
      </c>
      <c r="M44" s="241" t="s">
        <v>327</v>
      </c>
      <c r="N44" s="246" t="s">
        <v>199</v>
      </c>
      <c r="O44" s="245">
        <v>249</v>
      </c>
      <c r="P44" s="247"/>
      <c r="Q44" s="247"/>
      <c r="R44" s="243">
        <v>51.84</v>
      </c>
      <c r="S44" s="255"/>
      <c r="T44" s="255"/>
      <c r="U44" s="309" t="s">
        <v>325</v>
      </c>
      <c r="V44" s="309" t="s">
        <v>325</v>
      </c>
      <c r="W44" s="255"/>
      <c r="X44" s="243">
        <v>0</v>
      </c>
    </row>
    <row r="45" spans="1:24" s="116" customFormat="1" ht="22" customHeight="1">
      <c r="A45" s="117">
        <v>2480127108</v>
      </c>
      <c r="B45" s="289" t="s">
        <v>323</v>
      </c>
      <c r="C45" s="241" t="s">
        <v>200</v>
      </c>
      <c r="D45" s="309" t="s">
        <v>325</v>
      </c>
      <c r="E45" s="241" t="s">
        <v>201</v>
      </c>
      <c r="F45" s="309" t="s">
        <v>325</v>
      </c>
      <c r="G45" s="243">
        <v>89.14</v>
      </c>
      <c r="H45" s="243">
        <v>44.53</v>
      </c>
      <c r="I45" s="243">
        <v>44.61</v>
      </c>
      <c r="J45" s="244">
        <v>41520</v>
      </c>
      <c r="K45" s="244">
        <v>41520</v>
      </c>
      <c r="L45" s="246">
        <v>33</v>
      </c>
      <c r="M45" s="241" t="s">
        <v>327</v>
      </c>
      <c r="N45" s="310" t="s">
        <v>325</v>
      </c>
      <c r="O45" s="245">
        <v>332</v>
      </c>
      <c r="P45" s="247"/>
      <c r="Q45" s="247"/>
      <c r="R45" s="243">
        <v>44.61</v>
      </c>
      <c r="S45" s="255"/>
      <c r="T45" s="255"/>
      <c r="U45" s="309" t="s">
        <v>325</v>
      </c>
      <c r="V45" s="309" t="s">
        <v>325</v>
      </c>
      <c r="W45" s="255"/>
      <c r="X45" s="243">
        <v>0</v>
      </c>
    </row>
    <row r="46" spans="1:24" s="116" customFormat="1" ht="22" customHeight="1">
      <c r="A46" s="117">
        <v>2533809113</v>
      </c>
      <c r="B46" s="289" t="s">
        <v>323</v>
      </c>
      <c r="C46" s="241" t="s">
        <v>202</v>
      </c>
      <c r="D46" s="309" t="s">
        <v>325</v>
      </c>
      <c r="E46" s="241" t="s">
        <v>326</v>
      </c>
      <c r="F46" s="241" t="s">
        <v>277</v>
      </c>
      <c r="G46" s="243">
        <v>97.85</v>
      </c>
      <c r="H46" s="243">
        <v>0</v>
      </c>
      <c r="I46" s="243">
        <v>97.85</v>
      </c>
      <c r="J46" s="244">
        <v>41537</v>
      </c>
      <c r="K46" s="244">
        <v>41534</v>
      </c>
      <c r="L46" s="246">
        <v>28</v>
      </c>
      <c r="M46" s="241" t="s">
        <v>327</v>
      </c>
      <c r="N46" s="246" t="s">
        <v>116</v>
      </c>
      <c r="O46" s="245">
        <v>899</v>
      </c>
      <c r="P46" s="247"/>
      <c r="Q46" s="247"/>
      <c r="R46" s="243">
        <v>72.760000000000005</v>
      </c>
      <c r="S46" s="311">
        <v>41534</v>
      </c>
      <c r="T46" s="246">
        <v>28</v>
      </c>
      <c r="U46" s="241" t="s">
        <v>327</v>
      </c>
      <c r="V46" s="241" t="s">
        <v>204</v>
      </c>
      <c r="W46" s="246">
        <v>2</v>
      </c>
      <c r="X46" s="243">
        <v>25.09</v>
      </c>
    </row>
    <row r="47" spans="1:24" s="116" customFormat="1" ht="22" customHeight="1">
      <c r="A47" s="117">
        <v>2693810107</v>
      </c>
      <c r="B47" s="289" t="s">
        <v>323</v>
      </c>
      <c r="C47" s="241" t="s">
        <v>205</v>
      </c>
      <c r="D47" s="309" t="s">
        <v>325</v>
      </c>
      <c r="E47" s="241" t="s">
        <v>332</v>
      </c>
      <c r="F47" s="309" t="s">
        <v>325</v>
      </c>
      <c r="G47" s="243">
        <v>420.77</v>
      </c>
      <c r="H47" s="243">
        <v>420.77</v>
      </c>
      <c r="I47" s="243">
        <v>0</v>
      </c>
      <c r="J47" s="244">
        <v>41508</v>
      </c>
      <c r="K47" s="244">
        <v>41505</v>
      </c>
      <c r="L47" s="246">
        <v>33</v>
      </c>
      <c r="M47" s="241" t="s">
        <v>327</v>
      </c>
      <c r="N47" s="246" t="s">
        <v>206</v>
      </c>
      <c r="O47" s="245">
        <v>1320</v>
      </c>
      <c r="P47" s="245">
        <v>0</v>
      </c>
      <c r="Q47" s="247"/>
      <c r="R47" s="243">
        <v>60.49</v>
      </c>
      <c r="S47" s="255"/>
      <c r="T47" s="255"/>
      <c r="U47" s="309" t="s">
        <v>325</v>
      </c>
      <c r="V47" s="309" t="s">
        <v>325</v>
      </c>
      <c r="W47" s="255"/>
      <c r="X47" s="243">
        <v>0</v>
      </c>
    </row>
    <row r="48" spans="1:24" s="116" customFormat="1" ht="22" customHeight="1">
      <c r="A48" s="117">
        <v>2703112003</v>
      </c>
      <c r="B48" s="289" t="s">
        <v>323</v>
      </c>
      <c r="C48" s="241" t="s">
        <v>207</v>
      </c>
      <c r="D48" s="309" t="s">
        <v>325</v>
      </c>
      <c r="E48" s="241" t="s">
        <v>332</v>
      </c>
      <c r="F48" s="309" t="s">
        <v>325</v>
      </c>
      <c r="G48" s="243">
        <v>865.27</v>
      </c>
      <c r="H48" s="243">
        <v>0</v>
      </c>
      <c r="I48" s="243">
        <v>865.27</v>
      </c>
      <c r="J48" s="244">
        <v>41530</v>
      </c>
      <c r="K48" s="244">
        <v>41527</v>
      </c>
      <c r="L48" s="246">
        <v>32</v>
      </c>
      <c r="M48" s="241" t="s">
        <v>327</v>
      </c>
      <c r="N48" s="246" t="s">
        <v>208</v>
      </c>
      <c r="O48" s="245">
        <v>3037</v>
      </c>
      <c r="P48" s="245">
        <v>75.7</v>
      </c>
      <c r="Q48" s="245">
        <v>5.2238138485248796E-2</v>
      </c>
      <c r="R48" s="243">
        <v>865.27</v>
      </c>
      <c r="S48" s="255"/>
      <c r="T48" s="255"/>
      <c r="U48" s="309" t="s">
        <v>325</v>
      </c>
      <c r="V48" s="309" t="s">
        <v>325</v>
      </c>
      <c r="W48" s="255"/>
      <c r="X48" s="243">
        <v>0</v>
      </c>
    </row>
    <row r="49" spans="1:24" s="116" customFormat="1" ht="22" customHeight="1">
      <c r="A49" s="117">
        <v>2773821106</v>
      </c>
      <c r="B49" s="289" t="s">
        <v>323</v>
      </c>
      <c r="C49" s="241" t="s">
        <v>209</v>
      </c>
      <c r="D49" s="309" t="s">
        <v>325</v>
      </c>
      <c r="E49" s="241" t="s">
        <v>255</v>
      </c>
      <c r="F49" s="309" t="s">
        <v>325</v>
      </c>
      <c r="G49" s="243">
        <v>20.62</v>
      </c>
      <c r="H49" s="243">
        <v>0</v>
      </c>
      <c r="I49" s="243">
        <v>20.62</v>
      </c>
      <c r="J49" s="244">
        <v>41537</v>
      </c>
      <c r="K49" s="244">
        <v>41534</v>
      </c>
      <c r="L49" s="246">
        <v>27</v>
      </c>
      <c r="M49" s="241" t="s">
        <v>327</v>
      </c>
      <c r="N49" s="246" t="s">
        <v>210</v>
      </c>
      <c r="O49" s="245">
        <v>0</v>
      </c>
      <c r="P49" s="247"/>
      <c r="Q49" s="247"/>
      <c r="R49" s="243">
        <v>20.62</v>
      </c>
      <c r="S49" s="255"/>
      <c r="T49" s="255"/>
      <c r="U49" s="309" t="s">
        <v>325</v>
      </c>
      <c r="V49" s="309" t="s">
        <v>325</v>
      </c>
      <c r="W49" s="255"/>
      <c r="X49" s="243">
        <v>0</v>
      </c>
    </row>
    <row r="50" spans="1:24" s="116" customFormat="1" ht="22" customHeight="1">
      <c r="A50" s="117">
        <v>2856106004</v>
      </c>
      <c r="B50" s="289" t="s">
        <v>323</v>
      </c>
      <c r="C50" s="241" t="s">
        <v>211</v>
      </c>
      <c r="D50" s="309" t="s">
        <v>325</v>
      </c>
      <c r="E50" s="309" t="s">
        <v>325</v>
      </c>
      <c r="F50" s="241" t="s">
        <v>335</v>
      </c>
      <c r="G50" s="243">
        <v>25.53</v>
      </c>
      <c r="H50" s="243">
        <v>0</v>
      </c>
      <c r="I50" s="243">
        <v>25.53</v>
      </c>
      <c r="J50" s="244">
        <v>41530</v>
      </c>
      <c r="K50" s="247"/>
      <c r="L50" s="255"/>
      <c r="M50" s="309" t="s">
        <v>325</v>
      </c>
      <c r="N50" s="310" t="s">
        <v>325</v>
      </c>
      <c r="O50" s="247"/>
      <c r="P50" s="247"/>
      <c r="Q50" s="247"/>
      <c r="R50" s="243">
        <v>0</v>
      </c>
      <c r="S50" s="311">
        <v>41527</v>
      </c>
      <c r="T50" s="246">
        <v>32</v>
      </c>
      <c r="U50" s="241" t="s">
        <v>327</v>
      </c>
      <c r="V50" s="241" t="s">
        <v>212</v>
      </c>
      <c r="W50" s="246">
        <v>8</v>
      </c>
      <c r="X50" s="243">
        <v>25.53</v>
      </c>
    </row>
    <row r="51" spans="1:24" s="116" customFormat="1" ht="22" customHeight="1">
      <c r="A51" s="117">
        <v>2860127100</v>
      </c>
      <c r="B51" s="289" t="s">
        <v>323</v>
      </c>
      <c r="C51" s="241" t="s">
        <v>213</v>
      </c>
      <c r="D51" s="309" t="s">
        <v>325</v>
      </c>
      <c r="E51" s="241" t="s">
        <v>201</v>
      </c>
      <c r="F51" s="309" t="s">
        <v>325</v>
      </c>
      <c r="G51" s="243">
        <v>110</v>
      </c>
      <c r="H51" s="243">
        <v>54.96</v>
      </c>
      <c r="I51" s="243">
        <v>55.04</v>
      </c>
      <c r="J51" s="244">
        <v>41520</v>
      </c>
      <c r="K51" s="244">
        <v>41520</v>
      </c>
      <c r="L51" s="246">
        <v>33</v>
      </c>
      <c r="M51" s="241" t="s">
        <v>327</v>
      </c>
      <c r="N51" s="310" t="s">
        <v>325</v>
      </c>
      <c r="O51" s="245">
        <v>312</v>
      </c>
      <c r="P51" s="247"/>
      <c r="Q51" s="247"/>
      <c r="R51" s="243">
        <v>55.04</v>
      </c>
      <c r="S51" s="255"/>
      <c r="T51" s="255"/>
      <c r="U51" s="309" t="s">
        <v>325</v>
      </c>
      <c r="V51" s="309" t="s">
        <v>325</v>
      </c>
      <c r="W51" s="255"/>
      <c r="X51" s="243">
        <v>0</v>
      </c>
    </row>
    <row r="52" spans="1:24" s="116" customFormat="1" ht="22" customHeight="1">
      <c r="A52" s="117">
        <v>3040127109</v>
      </c>
      <c r="B52" s="289" t="s">
        <v>323</v>
      </c>
      <c r="C52" s="241" t="s">
        <v>214</v>
      </c>
      <c r="D52" s="309" t="s">
        <v>325</v>
      </c>
      <c r="E52" s="241" t="s">
        <v>201</v>
      </c>
      <c r="F52" s="309" t="s">
        <v>325</v>
      </c>
      <c r="G52" s="243">
        <v>113.4</v>
      </c>
      <c r="H52" s="243">
        <v>56.66</v>
      </c>
      <c r="I52" s="243">
        <v>56.74</v>
      </c>
      <c r="J52" s="244">
        <v>41520</v>
      </c>
      <c r="K52" s="244">
        <v>41520</v>
      </c>
      <c r="L52" s="246">
        <v>33</v>
      </c>
      <c r="M52" s="241" t="s">
        <v>327</v>
      </c>
      <c r="N52" s="310" t="s">
        <v>325</v>
      </c>
      <c r="O52" s="245">
        <v>326</v>
      </c>
      <c r="P52" s="247"/>
      <c r="Q52" s="247"/>
      <c r="R52" s="243">
        <v>56.74</v>
      </c>
      <c r="S52" s="255"/>
      <c r="T52" s="255"/>
      <c r="U52" s="309" t="s">
        <v>325</v>
      </c>
      <c r="V52" s="309" t="s">
        <v>325</v>
      </c>
      <c r="W52" s="255"/>
      <c r="X52" s="243">
        <v>0</v>
      </c>
    </row>
    <row r="53" spans="1:24" s="116" customFormat="1" ht="22" customHeight="1">
      <c r="A53" s="117">
        <v>3128810107</v>
      </c>
      <c r="B53" s="289" t="s">
        <v>323</v>
      </c>
      <c r="C53" s="241" t="s">
        <v>215</v>
      </c>
      <c r="D53" s="309" t="s">
        <v>325</v>
      </c>
      <c r="E53" s="241" t="s">
        <v>326</v>
      </c>
      <c r="F53" s="309" t="s">
        <v>325</v>
      </c>
      <c r="G53" s="243">
        <v>20.91</v>
      </c>
      <c r="H53" s="243">
        <v>0</v>
      </c>
      <c r="I53" s="243">
        <v>20.91</v>
      </c>
      <c r="J53" s="244">
        <v>41530</v>
      </c>
      <c r="K53" s="244">
        <v>41527</v>
      </c>
      <c r="L53" s="246">
        <v>32</v>
      </c>
      <c r="M53" s="241" t="s">
        <v>327</v>
      </c>
      <c r="N53" s="246" t="s">
        <v>216</v>
      </c>
      <c r="O53" s="245">
        <v>5</v>
      </c>
      <c r="P53" s="247"/>
      <c r="Q53" s="247"/>
      <c r="R53" s="243">
        <v>20.91</v>
      </c>
      <c r="S53" s="255"/>
      <c r="T53" s="255"/>
      <c r="U53" s="309" t="s">
        <v>325</v>
      </c>
      <c r="V53" s="309" t="s">
        <v>325</v>
      </c>
      <c r="W53" s="255"/>
      <c r="X53" s="243">
        <v>0</v>
      </c>
    </row>
    <row r="54" spans="1:24" s="116" customFormat="1" ht="22" customHeight="1">
      <c r="A54" s="117">
        <v>3195056004</v>
      </c>
      <c r="B54" s="289" t="s">
        <v>323</v>
      </c>
      <c r="C54" s="241" t="s">
        <v>217</v>
      </c>
      <c r="D54" s="309" t="s">
        <v>325</v>
      </c>
      <c r="E54" s="241" t="s">
        <v>326</v>
      </c>
      <c r="F54" s="309" t="s">
        <v>325</v>
      </c>
      <c r="G54" s="243">
        <v>21.27</v>
      </c>
      <c r="H54" s="243">
        <v>0</v>
      </c>
      <c r="I54" s="243">
        <v>21.27</v>
      </c>
      <c r="J54" s="244">
        <v>41537</v>
      </c>
      <c r="K54" s="244">
        <v>41534</v>
      </c>
      <c r="L54" s="246">
        <v>28</v>
      </c>
      <c r="M54" s="241" t="s">
        <v>327</v>
      </c>
      <c r="N54" s="246" t="s">
        <v>218</v>
      </c>
      <c r="O54" s="245">
        <v>11</v>
      </c>
      <c r="P54" s="247"/>
      <c r="Q54" s="247"/>
      <c r="R54" s="243">
        <v>21.27</v>
      </c>
      <c r="S54" s="255"/>
      <c r="T54" s="255"/>
      <c r="U54" s="309" t="s">
        <v>325</v>
      </c>
      <c r="V54" s="309" t="s">
        <v>325</v>
      </c>
      <c r="W54" s="255"/>
      <c r="X54" s="243">
        <v>0</v>
      </c>
    </row>
    <row r="55" spans="1:24" s="116" customFormat="1" ht="22" customHeight="1">
      <c r="A55" s="117">
        <v>3273812135</v>
      </c>
      <c r="B55" s="289" t="s">
        <v>323</v>
      </c>
      <c r="C55" s="241" t="s">
        <v>219</v>
      </c>
      <c r="D55" s="309" t="s">
        <v>325</v>
      </c>
      <c r="E55" s="241" t="s">
        <v>326</v>
      </c>
      <c r="F55" s="241" t="s">
        <v>277</v>
      </c>
      <c r="G55" s="243">
        <v>85.72</v>
      </c>
      <c r="H55" s="243">
        <v>0</v>
      </c>
      <c r="I55" s="243">
        <v>85.72</v>
      </c>
      <c r="J55" s="244">
        <v>41537</v>
      </c>
      <c r="K55" s="244">
        <v>41534</v>
      </c>
      <c r="L55" s="246">
        <v>29</v>
      </c>
      <c r="M55" s="241" t="s">
        <v>327</v>
      </c>
      <c r="N55" s="246" t="s">
        <v>125</v>
      </c>
      <c r="O55" s="245">
        <v>682</v>
      </c>
      <c r="P55" s="247"/>
      <c r="Q55" s="247"/>
      <c r="R55" s="243">
        <v>60.17</v>
      </c>
      <c r="S55" s="311">
        <v>41534</v>
      </c>
      <c r="T55" s="246">
        <v>27</v>
      </c>
      <c r="U55" s="241" t="s">
        <v>327</v>
      </c>
      <c r="V55" s="241" t="s">
        <v>221</v>
      </c>
      <c r="W55" s="246">
        <v>3</v>
      </c>
      <c r="X55" s="243">
        <v>25.55</v>
      </c>
    </row>
    <row r="56" spans="1:24" s="116" customFormat="1" ht="22" customHeight="1">
      <c r="A56" s="117">
        <v>3293820115</v>
      </c>
      <c r="B56" s="289" t="s">
        <v>323</v>
      </c>
      <c r="C56" s="241" t="s">
        <v>222</v>
      </c>
      <c r="D56" s="309" t="s">
        <v>325</v>
      </c>
      <c r="E56" s="309" t="s">
        <v>325</v>
      </c>
      <c r="F56" s="241" t="s">
        <v>335</v>
      </c>
      <c r="G56" s="243">
        <v>23.77</v>
      </c>
      <c r="H56" s="243">
        <v>0</v>
      </c>
      <c r="I56" s="243">
        <v>23.77</v>
      </c>
      <c r="J56" s="244">
        <v>41537</v>
      </c>
      <c r="K56" s="247"/>
      <c r="L56" s="255"/>
      <c r="M56" s="309" t="s">
        <v>325</v>
      </c>
      <c r="N56" s="310" t="s">
        <v>325</v>
      </c>
      <c r="O56" s="247"/>
      <c r="P56" s="247"/>
      <c r="Q56" s="247"/>
      <c r="R56" s="243">
        <v>0</v>
      </c>
      <c r="S56" s="311">
        <v>41534</v>
      </c>
      <c r="T56" s="246">
        <v>28</v>
      </c>
      <c r="U56" s="241" t="s">
        <v>327</v>
      </c>
      <c r="V56" s="241" t="s">
        <v>223</v>
      </c>
      <c r="W56" s="246">
        <v>0</v>
      </c>
      <c r="X56" s="243">
        <v>23.77</v>
      </c>
    </row>
    <row r="57" spans="1:24" s="116" customFormat="1" ht="22" customHeight="1">
      <c r="A57" s="117">
        <v>3448808118</v>
      </c>
      <c r="B57" s="289" t="s">
        <v>323</v>
      </c>
      <c r="C57" s="241" t="s">
        <v>224</v>
      </c>
      <c r="D57" s="309" t="s">
        <v>325</v>
      </c>
      <c r="E57" s="241" t="s">
        <v>326</v>
      </c>
      <c r="F57" s="242" t="s">
        <v>325</v>
      </c>
      <c r="G57" s="243">
        <v>52.6</v>
      </c>
      <c r="H57" s="243">
        <v>0</v>
      </c>
      <c r="I57" s="243">
        <v>52.6</v>
      </c>
      <c r="J57" s="244">
        <v>41530</v>
      </c>
      <c r="K57" s="244">
        <v>41527</v>
      </c>
      <c r="L57" s="246">
        <v>32</v>
      </c>
      <c r="M57" s="241" t="s">
        <v>327</v>
      </c>
      <c r="N57" s="246" t="s">
        <v>126</v>
      </c>
      <c r="O57" s="245">
        <v>552</v>
      </c>
      <c r="P57" s="247"/>
      <c r="Q57" s="247"/>
      <c r="R57" s="243">
        <v>52.6</v>
      </c>
      <c r="S57" s="255"/>
      <c r="T57" s="255"/>
      <c r="U57" s="242" t="s">
        <v>325</v>
      </c>
      <c r="V57" s="242" t="s">
        <v>325</v>
      </c>
      <c r="W57" s="255"/>
      <c r="X57" s="243">
        <v>0</v>
      </c>
    </row>
    <row r="58" spans="1:24" s="116" customFormat="1" ht="22" customHeight="1">
      <c r="A58" s="117">
        <v>3632395006</v>
      </c>
      <c r="B58" s="289" t="s">
        <v>323</v>
      </c>
      <c r="C58" s="241" t="s">
        <v>226</v>
      </c>
      <c r="D58" s="242" t="s">
        <v>325</v>
      </c>
      <c r="E58" s="241" t="s">
        <v>326</v>
      </c>
      <c r="F58" s="242" t="s">
        <v>325</v>
      </c>
      <c r="G58" s="243">
        <v>21.15</v>
      </c>
      <c r="H58" s="243">
        <v>0</v>
      </c>
      <c r="I58" s="243">
        <v>21.15</v>
      </c>
      <c r="J58" s="244">
        <v>41530</v>
      </c>
      <c r="K58" s="244">
        <v>41527</v>
      </c>
      <c r="L58" s="246">
        <v>32</v>
      </c>
      <c r="M58" s="241" t="s">
        <v>327</v>
      </c>
      <c r="N58" s="246" t="s">
        <v>227</v>
      </c>
      <c r="O58" s="245">
        <v>9</v>
      </c>
      <c r="P58" s="247"/>
      <c r="Q58" s="247"/>
      <c r="R58" s="243">
        <v>21.15</v>
      </c>
      <c r="S58" s="255"/>
      <c r="T58" s="255"/>
      <c r="U58" s="242" t="s">
        <v>325</v>
      </c>
      <c r="V58" s="242" t="s">
        <v>325</v>
      </c>
      <c r="W58" s="255"/>
      <c r="X58" s="243">
        <v>0</v>
      </c>
    </row>
    <row r="59" spans="1:24" s="116" customFormat="1" ht="22" customHeight="1">
      <c r="A59" s="117">
        <v>3753663109</v>
      </c>
      <c r="B59" s="289" t="s">
        <v>323</v>
      </c>
      <c r="C59" s="241" t="s">
        <v>228</v>
      </c>
      <c r="D59" s="242" t="s">
        <v>325</v>
      </c>
      <c r="E59" s="241" t="s">
        <v>330</v>
      </c>
      <c r="F59" s="242" t="s">
        <v>325</v>
      </c>
      <c r="G59" s="243">
        <v>201.69</v>
      </c>
      <c r="H59" s="243">
        <v>0</v>
      </c>
      <c r="I59" s="243">
        <v>201.69</v>
      </c>
      <c r="J59" s="244">
        <v>41537</v>
      </c>
      <c r="K59" s="244">
        <v>41537</v>
      </c>
      <c r="L59" s="246">
        <v>29</v>
      </c>
      <c r="M59" s="241" t="s">
        <v>327</v>
      </c>
      <c r="N59" s="248" t="s">
        <v>325</v>
      </c>
      <c r="O59" s="245">
        <v>160</v>
      </c>
      <c r="P59" s="247"/>
      <c r="Q59" s="247"/>
      <c r="R59" s="243">
        <v>201.69</v>
      </c>
      <c r="S59" s="255"/>
      <c r="T59" s="255"/>
      <c r="U59" s="242" t="s">
        <v>325</v>
      </c>
      <c r="V59" s="242" t="s">
        <v>325</v>
      </c>
      <c r="W59" s="255"/>
      <c r="X59" s="243">
        <v>0</v>
      </c>
    </row>
    <row r="60" spans="1:24" s="116" customFormat="1" ht="22" customHeight="1">
      <c r="A60" s="117">
        <v>3798043001</v>
      </c>
      <c r="B60" s="289" t="s">
        <v>323</v>
      </c>
      <c r="C60" s="241" t="s">
        <v>229</v>
      </c>
      <c r="D60" s="242" t="s">
        <v>325</v>
      </c>
      <c r="E60" s="241" t="s">
        <v>255</v>
      </c>
      <c r="F60" s="242" t="s">
        <v>325</v>
      </c>
      <c r="G60" s="243">
        <v>43.38</v>
      </c>
      <c r="H60" s="243">
        <v>21.76</v>
      </c>
      <c r="I60" s="243">
        <v>21.62</v>
      </c>
      <c r="J60" s="244">
        <v>41509</v>
      </c>
      <c r="K60" s="244">
        <v>41506</v>
      </c>
      <c r="L60" s="246">
        <v>28</v>
      </c>
      <c r="M60" s="241" t="s">
        <v>327</v>
      </c>
      <c r="N60" s="246" t="s">
        <v>230</v>
      </c>
      <c r="O60" s="245">
        <v>8</v>
      </c>
      <c r="P60" s="247"/>
      <c r="Q60" s="247"/>
      <c r="R60" s="243">
        <v>21.62</v>
      </c>
      <c r="S60" s="255"/>
      <c r="T60" s="255"/>
      <c r="U60" s="242" t="s">
        <v>325</v>
      </c>
      <c r="V60" s="242" t="s">
        <v>325</v>
      </c>
      <c r="W60" s="255"/>
      <c r="X60" s="243">
        <v>0</v>
      </c>
    </row>
    <row r="61" spans="1:24" s="116" customFormat="1" ht="22" customHeight="1">
      <c r="A61" s="117">
        <v>3908811104</v>
      </c>
      <c r="B61" s="289" t="s">
        <v>323</v>
      </c>
      <c r="C61" s="241" t="s">
        <v>231</v>
      </c>
      <c r="D61" s="242" t="s">
        <v>325</v>
      </c>
      <c r="E61" s="241" t="s">
        <v>326</v>
      </c>
      <c r="F61" s="242" t="s">
        <v>325</v>
      </c>
      <c r="G61" s="243">
        <v>71.88</v>
      </c>
      <c r="H61" s="243">
        <v>0</v>
      </c>
      <c r="I61" s="243">
        <v>71.88</v>
      </c>
      <c r="J61" s="244">
        <v>41530</v>
      </c>
      <c r="K61" s="244">
        <v>41528</v>
      </c>
      <c r="L61" s="246">
        <v>29</v>
      </c>
      <c r="M61" s="241" t="s">
        <v>327</v>
      </c>
      <c r="N61" s="246" t="s">
        <v>232</v>
      </c>
      <c r="O61" s="245">
        <v>884</v>
      </c>
      <c r="P61" s="247"/>
      <c r="Q61" s="247"/>
      <c r="R61" s="243">
        <v>71.88</v>
      </c>
      <c r="S61" s="255"/>
      <c r="T61" s="255"/>
      <c r="U61" s="242" t="s">
        <v>325</v>
      </c>
      <c r="V61" s="242" t="s">
        <v>325</v>
      </c>
      <c r="W61" s="255"/>
      <c r="X61" s="243">
        <v>0</v>
      </c>
    </row>
    <row r="62" spans="1:24" s="116" customFormat="1" ht="22" customHeight="1">
      <c r="A62" s="117">
        <v>4153807100</v>
      </c>
      <c r="B62" s="289" t="s">
        <v>323</v>
      </c>
      <c r="C62" s="241" t="s">
        <v>233</v>
      </c>
      <c r="D62" s="242" t="s">
        <v>325</v>
      </c>
      <c r="E62" s="241" t="s">
        <v>326</v>
      </c>
      <c r="F62" s="241" t="s">
        <v>277</v>
      </c>
      <c r="G62" s="243">
        <v>53.88</v>
      </c>
      <c r="H62" s="243">
        <v>0</v>
      </c>
      <c r="I62" s="243">
        <v>53.88</v>
      </c>
      <c r="J62" s="244">
        <v>41537</v>
      </c>
      <c r="K62" s="244">
        <v>41534</v>
      </c>
      <c r="L62" s="246">
        <v>28</v>
      </c>
      <c r="M62" s="241" t="s">
        <v>327</v>
      </c>
      <c r="N62" s="246" t="s">
        <v>234</v>
      </c>
      <c r="O62" s="245">
        <v>157</v>
      </c>
      <c r="P62" s="247"/>
      <c r="Q62" s="247"/>
      <c r="R62" s="243">
        <v>29.71</v>
      </c>
      <c r="S62" s="311">
        <v>41534</v>
      </c>
      <c r="T62" s="246">
        <v>28</v>
      </c>
      <c r="U62" s="241" t="s">
        <v>327</v>
      </c>
      <c r="V62" s="241" t="s">
        <v>235</v>
      </c>
      <c r="W62" s="246">
        <v>0</v>
      </c>
      <c r="X62" s="243">
        <v>24.17</v>
      </c>
    </row>
    <row r="63" spans="1:24" s="116" customFormat="1" ht="22" customHeight="1">
      <c r="A63" s="117">
        <v>4153820112</v>
      </c>
      <c r="B63" s="289" t="s">
        <v>323</v>
      </c>
      <c r="C63" s="241" t="s">
        <v>147</v>
      </c>
      <c r="D63" s="242" t="s">
        <v>325</v>
      </c>
      <c r="E63" s="241" t="s">
        <v>332</v>
      </c>
      <c r="F63" s="242" t="s">
        <v>325</v>
      </c>
      <c r="G63" s="243">
        <v>710.44</v>
      </c>
      <c r="H63" s="243">
        <v>344.81</v>
      </c>
      <c r="I63" s="243">
        <v>365.63</v>
      </c>
      <c r="J63" s="244">
        <v>41512</v>
      </c>
      <c r="K63" s="244">
        <v>41505</v>
      </c>
      <c r="L63" s="246">
        <v>33</v>
      </c>
      <c r="M63" s="241" t="s">
        <v>327</v>
      </c>
      <c r="N63" s="246" t="s">
        <v>131</v>
      </c>
      <c r="O63" s="245">
        <v>14913</v>
      </c>
      <c r="P63" s="245">
        <v>20.9</v>
      </c>
      <c r="Q63" s="245">
        <v>0.90093518921270122</v>
      </c>
      <c r="R63" s="243">
        <v>365.63</v>
      </c>
      <c r="S63" s="255"/>
      <c r="T63" s="255"/>
      <c r="U63" s="242" t="s">
        <v>325</v>
      </c>
      <c r="V63" s="242" t="s">
        <v>325</v>
      </c>
      <c r="W63" s="255"/>
      <c r="X63" s="243">
        <v>0</v>
      </c>
    </row>
    <row r="64" spans="1:24" s="116" customFormat="1" ht="22" customHeight="1">
      <c r="A64" s="117">
        <v>4308810115</v>
      </c>
      <c r="B64" s="289" t="s">
        <v>323</v>
      </c>
      <c r="C64" s="241" t="s">
        <v>149</v>
      </c>
      <c r="D64" s="242" t="s">
        <v>325</v>
      </c>
      <c r="E64" s="241" t="s">
        <v>326</v>
      </c>
      <c r="F64" s="242" t="s">
        <v>325</v>
      </c>
      <c r="G64" s="243">
        <v>67.87</v>
      </c>
      <c r="H64" s="243">
        <v>0</v>
      </c>
      <c r="I64" s="243">
        <v>67.87</v>
      </c>
      <c r="J64" s="244">
        <v>41530</v>
      </c>
      <c r="K64" s="244">
        <v>41527</v>
      </c>
      <c r="L64" s="246">
        <v>32</v>
      </c>
      <c r="M64" s="241" t="s">
        <v>327</v>
      </c>
      <c r="N64" s="246" t="s">
        <v>113</v>
      </c>
      <c r="O64" s="245">
        <v>815</v>
      </c>
      <c r="P64" s="247"/>
      <c r="Q64" s="247"/>
      <c r="R64" s="243">
        <v>67.87</v>
      </c>
      <c r="S64" s="255"/>
      <c r="T64" s="255"/>
      <c r="U64" s="242" t="s">
        <v>325</v>
      </c>
      <c r="V64" s="242" t="s">
        <v>325</v>
      </c>
      <c r="W64" s="255"/>
      <c r="X64" s="243">
        <v>0</v>
      </c>
    </row>
    <row r="65" spans="1:24" s="116" customFormat="1" ht="22" customHeight="1">
      <c r="A65" s="117">
        <v>4399122004</v>
      </c>
      <c r="B65" s="289" t="s">
        <v>323</v>
      </c>
      <c r="C65" s="241" t="s">
        <v>151</v>
      </c>
      <c r="D65" s="242" t="s">
        <v>325</v>
      </c>
      <c r="E65" s="242" t="s">
        <v>325</v>
      </c>
      <c r="F65" s="241" t="s">
        <v>335</v>
      </c>
      <c r="G65" s="243">
        <v>23.77</v>
      </c>
      <c r="H65" s="243">
        <v>0</v>
      </c>
      <c r="I65" s="243">
        <v>23.77</v>
      </c>
      <c r="J65" s="244">
        <v>41537</v>
      </c>
      <c r="K65" s="247"/>
      <c r="L65" s="255"/>
      <c r="M65" s="242" t="s">
        <v>325</v>
      </c>
      <c r="N65" s="248" t="s">
        <v>325</v>
      </c>
      <c r="O65" s="247"/>
      <c r="P65" s="247"/>
      <c r="Q65" s="247"/>
      <c r="R65" s="243">
        <v>0</v>
      </c>
      <c r="S65" s="311">
        <v>41534</v>
      </c>
      <c r="T65" s="246">
        <v>28</v>
      </c>
      <c r="U65" s="241" t="s">
        <v>327</v>
      </c>
      <c r="V65" s="241" t="s">
        <v>152</v>
      </c>
      <c r="W65" s="246">
        <v>0</v>
      </c>
      <c r="X65" s="243">
        <v>23.77</v>
      </c>
    </row>
    <row r="66" spans="1:24" s="116" customFormat="1" ht="22" customHeight="1">
      <c r="A66" s="117">
        <v>4513814101</v>
      </c>
      <c r="B66" s="289" t="s">
        <v>323</v>
      </c>
      <c r="C66" s="241" t="s">
        <v>153</v>
      </c>
      <c r="D66" s="242" t="s">
        <v>325</v>
      </c>
      <c r="E66" s="241" t="s">
        <v>332</v>
      </c>
      <c r="F66" s="241" t="s">
        <v>277</v>
      </c>
      <c r="G66" s="243">
        <v>167.65</v>
      </c>
      <c r="H66" s="243">
        <v>0</v>
      </c>
      <c r="I66" s="243">
        <v>167.65</v>
      </c>
      <c r="J66" s="244">
        <v>41537</v>
      </c>
      <c r="K66" s="244">
        <v>41534</v>
      </c>
      <c r="L66" s="246">
        <v>29</v>
      </c>
      <c r="M66" s="241" t="s">
        <v>327</v>
      </c>
      <c r="N66" s="246" t="s">
        <v>117</v>
      </c>
      <c r="O66" s="245">
        <v>1847</v>
      </c>
      <c r="P66" s="245">
        <v>6.9</v>
      </c>
      <c r="Q66" s="245">
        <v>0.38459936698317509</v>
      </c>
      <c r="R66" s="243">
        <v>136.88</v>
      </c>
      <c r="S66" s="311">
        <v>41534</v>
      </c>
      <c r="T66" s="246">
        <v>27</v>
      </c>
      <c r="U66" s="241" t="s">
        <v>327</v>
      </c>
      <c r="V66" s="241" t="s">
        <v>155</v>
      </c>
      <c r="W66" s="246">
        <v>10</v>
      </c>
      <c r="X66" s="243">
        <v>30.77</v>
      </c>
    </row>
    <row r="67" spans="1:24" s="116" customFormat="1" ht="22" customHeight="1">
      <c r="A67" s="117">
        <v>4533881110</v>
      </c>
      <c r="B67" s="289" t="s">
        <v>323</v>
      </c>
      <c r="C67" s="241" t="s">
        <v>156</v>
      </c>
      <c r="D67" s="241" t="s">
        <v>157</v>
      </c>
      <c r="E67" s="241" t="s">
        <v>158</v>
      </c>
      <c r="F67" s="242" t="s">
        <v>325</v>
      </c>
      <c r="G67" s="243">
        <v>27.62</v>
      </c>
      <c r="H67" s="243">
        <v>0</v>
      </c>
      <c r="I67" s="243">
        <v>27.62</v>
      </c>
      <c r="J67" s="244">
        <v>41537</v>
      </c>
      <c r="K67" s="244">
        <v>41537</v>
      </c>
      <c r="L67" s="246">
        <v>29</v>
      </c>
      <c r="M67" s="241" t="s">
        <v>327</v>
      </c>
      <c r="N67" s="248" t="s">
        <v>325</v>
      </c>
      <c r="O67" s="245">
        <v>159</v>
      </c>
      <c r="P67" s="247"/>
      <c r="Q67" s="247"/>
      <c r="R67" s="243">
        <v>27.62</v>
      </c>
      <c r="S67" s="255"/>
      <c r="T67" s="255"/>
      <c r="U67" s="242" t="s">
        <v>325</v>
      </c>
      <c r="V67" s="242" t="s">
        <v>325</v>
      </c>
      <c r="W67" s="255"/>
      <c r="X67" s="243">
        <v>0</v>
      </c>
    </row>
    <row r="68" spans="1:24" s="116" customFormat="1" ht="22" customHeight="1">
      <c r="A68" s="117">
        <v>4568811105</v>
      </c>
      <c r="B68" s="289" t="s">
        <v>323</v>
      </c>
      <c r="C68" s="241" t="s">
        <v>159</v>
      </c>
      <c r="D68" s="242" t="s">
        <v>325</v>
      </c>
      <c r="E68" s="241" t="s">
        <v>326</v>
      </c>
      <c r="F68" s="242" t="s">
        <v>325</v>
      </c>
      <c r="G68" s="243">
        <v>74.760000000000005</v>
      </c>
      <c r="H68" s="243">
        <v>0</v>
      </c>
      <c r="I68" s="243">
        <v>74.760000000000005</v>
      </c>
      <c r="J68" s="244">
        <v>41530</v>
      </c>
      <c r="K68" s="244">
        <v>41528</v>
      </c>
      <c r="L68" s="246">
        <v>30</v>
      </c>
      <c r="M68" s="241" t="s">
        <v>327</v>
      </c>
      <c r="N68" s="246" t="s">
        <v>160</v>
      </c>
      <c r="O68" s="245">
        <v>934</v>
      </c>
      <c r="P68" s="247"/>
      <c r="Q68" s="247"/>
      <c r="R68" s="243">
        <v>74.760000000000005</v>
      </c>
      <c r="S68" s="255"/>
      <c r="T68" s="255"/>
      <c r="U68" s="242" t="s">
        <v>325</v>
      </c>
      <c r="V68" s="242" t="s">
        <v>325</v>
      </c>
      <c r="W68" s="255"/>
      <c r="X68" s="243">
        <v>0</v>
      </c>
    </row>
    <row r="69" spans="1:24" s="116" customFormat="1" ht="22" customHeight="1">
      <c r="A69" s="117">
        <v>4588811101</v>
      </c>
      <c r="B69" s="289" t="s">
        <v>323</v>
      </c>
      <c r="C69" s="241" t="s">
        <v>159</v>
      </c>
      <c r="D69" s="242" t="s">
        <v>325</v>
      </c>
      <c r="E69" s="241" t="s">
        <v>326</v>
      </c>
      <c r="F69" s="242" t="s">
        <v>325</v>
      </c>
      <c r="G69" s="243">
        <v>67</v>
      </c>
      <c r="H69" s="243">
        <v>0</v>
      </c>
      <c r="I69" s="243">
        <v>67</v>
      </c>
      <c r="J69" s="244">
        <v>41534</v>
      </c>
      <c r="K69" s="244">
        <v>41527</v>
      </c>
      <c r="L69" s="246">
        <v>32</v>
      </c>
      <c r="M69" s="241" t="s">
        <v>240</v>
      </c>
      <c r="N69" s="246" t="s">
        <v>127</v>
      </c>
      <c r="O69" s="245">
        <v>800</v>
      </c>
      <c r="P69" s="247"/>
      <c r="Q69" s="247"/>
      <c r="R69" s="243">
        <v>67</v>
      </c>
      <c r="S69" s="255"/>
      <c r="T69" s="255"/>
      <c r="U69" s="242" t="s">
        <v>325</v>
      </c>
      <c r="V69" s="242" t="s">
        <v>325</v>
      </c>
      <c r="W69" s="255"/>
      <c r="X69" s="243">
        <v>0</v>
      </c>
    </row>
    <row r="70" spans="1:24" s="116" customFormat="1" ht="22" customHeight="1">
      <c r="A70" s="117">
        <v>4794009102</v>
      </c>
      <c r="B70" s="289" t="s">
        <v>323</v>
      </c>
      <c r="C70" s="241" t="s">
        <v>162</v>
      </c>
      <c r="D70" s="242" t="s">
        <v>325</v>
      </c>
      <c r="E70" s="241" t="s">
        <v>255</v>
      </c>
      <c r="F70" s="241" t="s">
        <v>163</v>
      </c>
      <c r="G70" s="243">
        <v>253.2</v>
      </c>
      <c r="H70" s="243">
        <v>125.62</v>
      </c>
      <c r="I70" s="243">
        <v>127.58</v>
      </c>
      <c r="J70" s="244">
        <v>41509</v>
      </c>
      <c r="K70" s="244">
        <v>41506</v>
      </c>
      <c r="L70" s="246">
        <v>32</v>
      </c>
      <c r="M70" s="241" t="s">
        <v>327</v>
      </c>
      <c r="N70" s="246" t="s">
        <v>164</v>
      </c>
      <c r="O70" s="245">
        <v>633</v>
      </c>
      <c r="P70" s="247"/>
      <c r="Q70" s="247"/>
      <c r="R70" s="243">
        <v>101.3</v>
      </c>
      <c r="S70" s="311">
        <v>41506</v>
      </c>
      <c r="T70" s="246">
        <v>28</v>
      </c>
      <c r="U70" s="241" t="s">
        <v>327</v>
      </c>
      <c r="V70" s="241" t="s">
        <v>165</v>
      </c>
      <c r="W70" s="246">
        <v>4</v>
      </c>
      <c r="X70" s="243">
        <v>26.28</v>
      </c>
    </row>
    <row r="71" spans="1:24" s="116" customFormat="1" ht="22" customHeight="1">
      <c r="A71" s="117">
        <v>5048811100</v>
      </c>
      <c r="B71" s="289" t="s">
        <v>323</v>
      </c>
      <c r="C71" s="241" t="s">
        <v>166</v>
      </c>
      <c r="D71" s="242" t="s">
        <v>325</v>
      </c>
      <c r="E71" s="241" t="s">
        <v>326</v>
      </c>
      <c r="F71" s="242" t="s">
        <v>325</v>
      </c>
      <c r="G71" s="243">
        <v>36.04</v>
      </c>
      <c r="H71" s="243">
        <v>0</v>
      </c>
      <c r="I71" s="243">
        <v>36.04</v>
      </c>
      <c r="J71" s="244">
        <v>41530</v>
      </c>
      <c r="K71" s="244">
        <v>41527</v>
      </c>
      <c r="L71" s="246">
        <v>32</v>
      </c>
      <c r="M71" s="241" t="s">
        <v>327</v>
      </c>
      <c r="N71" s="246" t="s">
        <v>167</v>
      </c>
      <c r="O71" s="245">
        <v>266</v>
      </c>
      <c r="P71" s="247"/>
      <c r="Q71" s="247"/>
      <c r="R71" s="243">
        <v>36.04</v>
      </c>
      <c r="S71" s="255"/>
      <c r="T71" s="255"/>
      <c r="U71" s="242" t="s">
        <v>325</v>
      </c>
      <c r="V71" s="242" t="s">
        <v>325</v>
      </c>
      <c r="W71" s="255"/>
      <c r="X71" s="243">
        <v>0</v>
      </c>
    </row>
    <row r="72" spans="1:24" s="116" customFormat="1" ht="22" customHeight="1">
      <c r="A72" s="117">
        <v>5293880104</v>
      </c>
      <c r="B72" s="289" t="s">
        <v>323</v>
      </c>
      <c r="C72" s="241" t="s">
        <v>168</v>
      </c>
      <c r="D72" s="242" t="s">
        <v>325</v>
      </c>
      <c r="E72" s="241" t="s">
        <v>330</v>
      </c>
      <c r="F72" s="242" t="s">
        <v>325</v>
      </c>
      <c r="G72" s="243">
        <v>9709.85</v>
      </c>
      <c r="H72" s="243">
        <v>0</v>
      </c>
      <c r="I72" s="243">
        <v>9709.85</v>
      </c>
      <c r="J72" s="244">
        <v>41537</v>
      </c>
      <c r="K72" s="244">
        <v>41537</v>
      </c>
      <c r="L72" s="246">
        <v>29</v>
      </c>
      <c r="M72" s="241" t="s">
        <v>327</v>
      </c>
      <c r="N72" s="248" t="s">
        <v>325</v>
      </c>
      <c r="O72" s="245">
        <v>29243</v>
      </c>
      <c r="P72" s="247"/>
      <c r="Q72" s="247"/>
      <c r="R72" s="243">
        <v>9709.85</v>
      </c>
      <c r="S72" s="255"/>
      <c r="T72" s="255"/>
      <c r="U72" s="242" t="s">
        <v>325</v>
      </c>
      <c r="V72" s="242" t="s">
        <v>325</v>
      </c>
      <c r="W72" s="255"/>
      <c r="X72" s="243">
        <v>0</v>
      </c>
    </row>
    <row r="73" spans="1:24" s="116" customFormat="1" ht="22" customHeight="1">
      <c r="A73" s="117">
        <v>5333812119</v>
      </c>
      <c r="B73" s="289" t="s">
        <v>323</v>
      </c>
      <c r="C73" s="241" t="s">
        <v>169</v>
      </c>
      <c r="D73" s="242" t="s">
        <v>325</v>
      </c>
      <c r="E73" s="241" t="s">
        <v>326</v>
      </c>
      <c r="F73" s="242" t="s">
        <v>325</v>
      </c>
      <c r="G73" s="243">
        <v>37.21</v>
      </c>
      <c r="H73" s="243">
        <v>0</v>
      </c>
      <c r="I73" s="243">
        <v>37.21</v>
      </c>
      <c r="J73" s="244">
        <v>41537</v>
      </c>
      <c r="K73" s="244">
        <v>41534</v>
      </c>
      <c r="L73" s="246">
        <v>28</v>
      </c>
      <c r="M73" s="241" t="s">
        <v>327</v>
      </c>
      <c r="N73" s="246" t="s">
        <v>170</v>
      </c>
      <c r="O73" s="245">
        <v>286</v>
      </c>
      <c r="P73" s="247"/>
      <c r="Q73" s="247"/>
      <c r="R73" s="243">
        <v>37.21</v>
      </c>
      <c r="S73" s="255"/>
      <c r="T73" s="255"/>
      <c r="U73" s="242" t="s">
        <v>325</v>
      </c>
      <c r="V73" s="242" t="s">
        <v>325</v>
      </c>
      <c r="W73" s="255"/>
      <c r="X73" s="243">
        <v>0</v>
      </c>
    </row>
    <row r="74" spans="1:24" s="116" customFormat="1" ht="22" customHeight="1">
      <c r="A74" s="117">
        <v>5513812108</v>
      </c>
      <c r="B74" s="289" t="s">
        <v>323</v>
      </c>
      <c r="C74" s="241" t="s">
        <v>337</v>
      </c>
      <c r="D74" s="242" t="s">
        <v>325</v>
      </c>
      <c r="E74" s="241" t="s">
        <v>332</v>
      </c>
      <c r="F74" s="242" t="s">
        <v>325</v>
      </c>
      <c r="G74" s="243">
        <v>131.38999999999999</v>
      </c>
      <c r="H74" s="243">
        <v>0</v>
      </c>
      <c r="I74" s="243">
        <v>131.38999999999999</v>
      </c>
      <c r="J74" s="244">
        <v>41537</v>
      </c>
      <c r="K74" s="244">
        <v>41534</v>
      </c>
      <c r="L74" s="246">
        <v>29</v>
      </c>
      <c r="M74" s="241" t="s">
        <v>327</v>
      </c>
      <c r="N74" s="246" t="s">
        <v>114</v>
      </c>
      <c r="O74" s="245">
        <v>727</v>
      </c>
      <c r="P74" s="245">
        <v>7.1</v>
      </c>
      <c r="Q74" s="245">
        <v>0.14711834223733206</v>
      </c>
      <c r="R74" s="243">
        <v>131.38999999999999</v>
      </c>
      <c r="S74" s="255"/>
      <c r="T74" s="255"/>
      <c r="U74" s="242" t="s">
        <v>325</v>
      </c>
      <c r="V74" s="242" t="s">
        <v>325</v>
      </c>
      <c r="W74" s="255"/>
      <c r="X74" s="243">
        <v>0</v>
      </c>
    </row>
    <row r="75" spans="1:24" s="116" customFormat="1" ht="22" customHeight="1">
      <c r="A75" s="117">
        <v>5613808124</v>
      </c>
      <c r="B75" s="289" t="s">
        <v>323</v>
      </c>
      <c r="C75" s="241" t="s">
        <v>172</v>
      </c>
      <c r="D75" s="242" t="s">
        <v>325</v>
      </c>
      <c r="E75" s="241" t="s">
        <v>255</v>
      </c>
      <c r="F75" s="242" t="s">
        <v>325</v>
      </c>
      <c r="G75" s="243">
        <v>143.57</v>
      </c>
      <c r="H75" s="243">
        <v>0</v>
      </c>
      <c r="I75" s="243">
        <v>143.57</v>
      </c>
      <c r="J75" s="244">
        <v>41537</v>
      </c>
      <c r="K75" s="244">
        <v>41534</v>
      </c>
      <c r="L75" s="246">
        <v>28</v>
      </c>
      <c r="M75" s="241" t="s">
        <v>327</v>
      </c>
      <c r="N75" s="246" t="s">
        <v>128</v>
      </c>
      <c r="O75" s="245">
        <v>1003</v>
      </c>
      <c r="P75" s="247"/>
      <c r="Q75" s="247"/>
      <c r="R75" s="243">
        <v>143.57</v>
      </c>
      <c r="S75" s="255"/>
      <c r="T75" s="255"/>
      <c r="U75" s="242" t="s">
        <v>325</v>
      </c>
      <c r="V75" s="242" t="s">
        <v>325</v>
      </c>
      <c r="W75" s="255"/>
      <c r="X75" s="243">
        <v>0</v>
      </c>
    </row>
    <row r="76" spans="1:24" s="116" customFormat="1" ht="22" customHeight="1">
      <c r="A76" s="117">
        <v>5668811108</v>
      </c>
      <c r="B76" s="289" t="s">
        <v>323</v>
      </c>
      <c r="C76" s="241" t="s">
        <v>159</v>
      </c>
      <c r="D76" s="242" t="s">
        <v>325</v>
      </c>
      <c r="E76" s="241" t="s">
        <v>255</v>
      </c>
      <c r="F76" s="242" t="s">
        <v>325</v>
      </c>
      <c r="G76" s="243">
        <v>33.520000000000003</v>
      </c>
      <c r="H76" s="243">
        <v>0</v>
      </c>
      <c r="I76" s="243">
        <v>33.520000000000003</v>
      </c>
      <c r="J76" s="244">
        <v>41530</v>
      </c>
      <c r="K76" s="244">
        <v>41528</v>
      </c>
      <c r="L76" s="246">
        <v>30</v>
      </c>
      <c r="M76" s="241" t="s">
        <v>327</v>
      </c>
      <c r="N76" s="246" t="s">
        <v>174</v>
      </c>
      <c r="O76" s="245">
        <v>105</v>
      </c>
      <c r="P76" s="247"/>
      <c r="Q76" s="247"/>
      <c r="R76" s="243">
        <v>33.520000000000003</v>
      </c>
      <c r="S76" s="255"/>
      <c r="T76" s="255"/>
      <c r="U76" s="242" t="s">
        <v>325</v>
      </c>
      <c r="V76" s="242" t="s">
        <v>325</v>
      </c>
      <c r="W76" s="255"/>
      <c r="X76" s="243">
        <v>0</v>
      </c>
    </row>
    <row r="77" spans="1:24" s="116" customFormat="1" ht="22" customHeight="1">
      <c r="A77" s="117">
        <v>5748811104</v>
      </c>
      <c r="B77" s="289" t="s">
        <v>323</v>
      </c>
      <c r="C77" s="241" t="s">
        <v>175</v>
      </c>
      <c r="D77" s="242" t="s">
        <v>325</v>
      </c>
      <c r="E77" s="241" t="s">
        <v>326</v>
      </c>
      <c r="F77" s="242" t="s">
        <v>325</v>
      </c>
      <c r="G77" s="243">
        <v>21.15</v>
      </c>
      <c r="H77" s="243">
        <v>0</v>
      </c>
      <c r="I77" s="243">
        <v>21.15</v>
      </c>
      <c r="J77" s="244">
        <v>41530</v>
      </c>
      <c r="K77" s="244">
        <v>41528</v>
      </c>
      <c r="L77" s="246">
        <v>30</v>
      </c>
      <c r="M77" s="241" t="s">
        <v>327</v>
      </c>
      <c r="N77" s="246" t="s">
        <v>176</v>
      </c>
      <c r="O77" s="245">
        <v>9</v>
      </c>
      <c r="P77" s="247"/>
      <c r="Q77" s="247"/>
      <c r="R77" s="243">
        <v>21.15</v>
      </c>
      <c r="S77" s="255"/>
      <c r="T77" s="255"/>
      <c r="U77" s="242" t="s">
        <v>325</v>
      </c>
      <c r="V77" s="242" t="s">
        <v>325</v>
      </c>
      <c r="W77" s="255"/>
      <c r="X77" s="243">
        <v>0</v>
      </c>
    </row>
    <row r="78" spans="1:24" s="116" customFormat="1" ht="22" customHeight="1">
      <c r="A78" s="117">
        <v>5828811100</v>
      </c>
      <c r="B78" s="289" t="s">
        <v>323</v>
      </c>
      <c r="C78" s="241" t="s">
        <v>175</v>
      </c>
      <c r="D78" s="242" t="s">
        <v>325</v>
      </c>
      <c r="E78" s="241" t="s">
        <v>326</v>
      </c>
      <c r="F78" s="242" t="s">
        <v>325</v>
      </c>
      <c r="G78" s="243">
        <v>20.8</v>
      </c>
      <c r="H78" s="243">
        <v>0</v>
      </c>
      <c r="I78" s="243">
        <v>20.8</v>
      </c>
      <c r="J78" s="244">
        <v>41530</v>
      </c>
      <c r="K78" s="244">
        <v>41528</v>
      </c>
      <c r="L78" s="246">
        <v>30</v>
      </c>
      <c r="M78" s="241" t="s">
        <v>327</v>
      </c>
      <c r="N78" s="246" t="s">
        <v>177</v>
      </c>
      <c r="O78" s="245">
        <v>3</v>
      </c>
      <c r="P78" s="247"/>
      <c r="Q78" s="247"/>
      <c r="R78" s="243">
        <v>20.8</v>
      </c>
      <c r="S78" s="255"/>
      <c r="T78" s="255"/>
      <c r="U78" s="242" t="s">
        <v>325</v>
      </c>
      <c r="V78" s="242" t="s">
        <v>325</v>
      </c>
      <c r="W78" s="255"/>
      <c r="X78" s="243">
        <v>0</v>
      </c>
    </row>
    <row r="79" spans="1:24" s="116" customFormat="1" ht="22" customHeight="1">
      <c r="A79" s="117">
        <v>5913814119</v>
      </c>
      <c r="B79" s="289" t="s">
        <v>323</v>
      </c>
      <c r="C79" s="241" t="s">
        <v>178</v>
      </c>
      <c r="D79" s="242" t="s">
        <v>325</v>
      </c>
      <c r="E79" s="241" t="s">
        <v>332</v>
      </c>
      <c r="F79" s="242" t="s">
        <v>325</v>
      </c>
      <c r="G79" s="243">
        <v>187.14</v>
      </c>
      <c r="H79" s="243">
        <v>0</v>
      </c>
      <c r="I79" s="243">
        <v>187.14</v>
      </c>
      <c r="J79" s="244">
        <v>41537</v>
      </c>
      <c r="K79" s="244">
        <v>41534</v>
      </c>
      <c r="L79" s="246">
        <v>29</v>
      </c>
      <c r="M79" s="241" t="s">
        <v>327</v>
      </c>
      <c r="N79" s="246" t="s">
        <v>118</v>
      </c>
      <c r="O79" s="245">
        <v>2466</v>
      </c>
      <c r="P79" s="245">
        <v>11.3</v>
      </c>
      <c r="Q79" s="245">
        <v>0.31354897772352763</v>
      </c>
      <c r="R79" s="243">
        <v>187.14</v>
      </c>
      <c r="S79" s="255"/>
      <c r="T79" s="255"/>
      <c r="U79" s="242" t="s">
        <v>325</v>
      </c>
      <c r="V79" s="242" t="s">
        <v>325</v>
      </c>
      <c r="W79" s="255"/>
      <c r="X79" s="243">
        <v>0</v>
      </c>
    </row>
    <row r="80" spans="1:24" s="116" customFormat="1" ht="22" customHeight="1">
      <c r="A80" s="117">
        <v>5933814115</v>
      </c>
      <c r="B80" s="289" t="s">
        <v>323</v>
      </c>
      <c r="C80" s="241" t="s">
        <v>180</v>
      </c>
      <c r="D80" s="242" t="s">
        <v>325</v>
      </c>
      <c r="E80" s="241" t="s">
        <v>332</v>
      </c>
      <c r="F80" s="242" t="s">
        <v>325</v>
      </c>
      <c r="G80" s="243">
        <v>435.59</v>
      </c>
      <c r="H80" s="243">
        <v>0</v>
      </c>
      <c r="I80" s="243">
        <v>435.59</v>
      </c>
      <c r="J80" s="244">
        <v>41537</v>
      </c>
      <c r="K80" s="244">
        <v>41534</v>
      </c>
      <c r="L80" s="246">
        <v>29</v>
      </c>
      <c r="M80" s="241" t="s">
        <v>327</v>
      </c>
      <c r="N80" s="246" t="s">
        <v>181</v>
      </c>
      <c r="O80" s="245">
        <v>13331</v>
      </c>
      <c r="P80" s="245">
        <v>28</v>
      </c>
      <c r="Q80" s="245">
        <v>0.684061986863711</v>
      </c>
      <c r="R80" s="243">
        <v>435.59</v>
      </c>
      <c r="S80" s="255"/>
      <c r="T80" s="255"/>
      <c r="U80" s="242" t="s">
        <v>325</v>
      </c>
      <c r="V80" s="242" t="s">
        <v>325</v>
      </c>
      <c r="W80" s="255"/>
      <c r="X80" s="243">
        <v>0</v>
      </c>
    </row>
    <row r="81" spans="1:24" s="116" customFormat="1" ht="22" customHeight="1">
      <c r="A81" s="117">
        <v>6053820112</v>
      </c>
      <c r="B81" s="289" t="s">
        <v>323</v>
      </c>
      <c r="C81" s="241" t="s">
        <v>182</v>
      </c>
      <c r="D81" s="242" t="s">
        <v>325</v>
      </c>
      <c r="E81" s="241" t="s">
        <v>326</v>
      </c>
      <c r="F81" s="242" t="s">
        <v>325</v>
      </c>
      <c r="G81" s="243">
        <v>22.12</v>
      </c>
      <c r="H81" s="243">
        <v>0</v>
      </c>
      <c r="I81" s="243">
        <v>22.12</v>
      </c>
      <c r="J81" s="244">
        <v>41537</v>
      </c>
      <c r="K81" s="244">
        <v>41534</v>
      </c>
      <c r="L81" s="246">
        <v>28</v>
      </c>
      <c r="M81" s="241" t="s">
        <v>327</v>
      </c>
      <c r="N81" s="246" t="s">
        <v>183</v>
      </c>
      <c r="O81" s="245">
        <v>26</v>
      </c>
      <c r="P81" s="247"/>
      <c r="Q81" s="247"/>
      <c r="R81" s="243">
        <v>22.12</v>
      </c>
      <c r="S81" s="255"/>
      <c r="T81" s="255"/>
      <c r="U81" s="242" t="s">
        <v>325</v>
      </c>
      <c r="V81" s="242" t="s">
        <v>325</v>
      </c>
      <c r="W81" s="255"/>
      <c r="X81" s="243">
        <v>0</v>
      </c>
    </row>
    <row r="82" spans="1:24" s="116" customFormat="1" ht="22" customHeight="1">
      <c r="A82" s="117">
        <v>6173817104</v>
      </c>
      <c r="B82" s="289" t="s">
        <v>323</v>
      </c>
      <c r="C82" s="241" t="s">
        <v>184</v>
      </c>
      <c r="D82" s="242" t="s">
        <v>325</v>
      </c>
      <c r="E82" s="241" t="s">
        <v>326</v>
      </c>
      <c r="F82" s="242" t="s">
        <v>325</v>
      </c>
      <c r="G82" s="243">
        <v>41.14</v>
      </c>
      <c r="H82" s="243">
        <v>0</v>
      </c>
      <c r="I82" s="243">
        <v>41.14</v>
      </c>
      <c r="J82" s="244">
        <v>41537</v>
      </c>
      <c r="K82" s="244">
        <v>41534</v>
      </c>
      <c r="L82" s="246">
        <v>28</v>
      </c>
      <c r="M82" s="241" t="s">
        <v>327</v>
      </c>
      <c r="N82" s="246" t="s">
        <v>185</v>
      </c>
      <c r="O82" s="245">
        <v>354</v>
      </c>
      <c r="P82" s="247"/>
      <c r="Q82" s="247"/>
      <c r="R82" s="243">
        <v>41.14</v>
      </c>
      <c r="S82" s="255"/>
      <c r="T82" s="255"/>
      <c r="U82" s="242" t="s">
        <v>325</v>
      </c>
      <c r="V82" s="242" t="s">
        <v>325</v>
      </c>
      <c r="W82" s="255"/>
      <c r="X82" s="243">
        <v>0</v>
      </c>
    </row>
    <row r="83" spans="1:24" s="116" customFormat="1" ht="22" customHeight="1">
      <c r="A83" s="117">
        <v>6368810106</v>
      </c>
      <c r="B83" s="289" t="s">
        <v>323</v>
      </c>
      <c r="C83" s="241" t="s">
        <v>186</v>
      </c>
      <c r="D83" s="242" t="s">
        <v>325</v>
      </c>
      <c r="E83" s="241" t="s">
        <v>326</v>
      </c>
      <c r="F83" s="242" t="s">
        <v>325</v>
      </c>
      <c r="G83" s="243">
        <v>268.52999999999997</v>
      </c>
      <c r="H83" s="243">
        <v>0</v>
      </c>
      <c r="I83" s="243">
        <v>268.52999999999997</v>
      </c>
      <c r="J83" s="244">
        <v>41530</v>
      </c>
      <c r="K83" s="244">
        <v>41528</v>
      </c>
      <c r="L83" s="246">
        <v>30</v>
      </c>
      <c r="M83" s="241" t="s">
        <v>327</v>
      </c>
      <c r="N83" s="246" t="s">
        <v>187</v>
      </c>
      <c r="O83" s="245">
        <v>4276</v>
      </c>
      <c r="P83" s="247"/>
      <c r="Q83" s="247"/>
      <c r="R83" s="243">
        <v>268.52999999999997</v>
      </c>
      <c r="S83" s="255"/>
      <c r="T83" s="255"/>
      <c r="U83" s="242" t="s">
        <v>325</v>
      </c>
      <c r="V83" s="242" t="s">
        <v>325</v>
      </c>
      <c r="W83" s="255"/>
      <c r="X83" s="243">
        <v>0</v>
      </c>
    </row>
    <row r="84" spans="1:24" s="116" customFormat="1" ht="22" customHeight="1">
      <c r="A84" s="117">
        <v>6853819124</v>
      </c>
      <c r="B84" s="289" t="s">
        <v>323</v>
      </c>
      <c r="C84" s="241" t="s">
        <v>188</v>
      </c>
      <c r="D84" s="242" t="s">
        <v>325</v>
      </c>
      <c r="E84" s="241" t="s">
        <v>255</v>
      </c>
      <c r="F84" s="242" t="s">
        <v>325</v>
      </c>
      <c r="G84" s="243">
        <v>47.11</v>
      </c>
      <c r="H84" s="243">
        <v>0</v>
      </c>
      <c r="I84" s="243">
        <v>47.11</v>
      </c>
      <c r="J84" s="244">
        <v>41537</v>
      </c>
      <c r="K84" s="244">
        <v>41534</v>
      </c>
      <c r="L84" s="246">
        <v>28</v>
      </c>
      <c r="M84" s="241" t="s">
        <v>327</v>
      </c>
      <c r="N84" s="246" t="s">
        <v>189</v>
      </c>
      <c r="O84" s="245">
        <v>216</v>
      </c>
      <c r="P84" s="247"/>
      <c r="Q84" s="247"/>
      <c r="R84" s="243">
        <v>47.11</v>
      </c>
      <c r="S84" s="255"/>
      <c r="T84" s="255"/>
      <c r="U84" s="242" t="s">
        <v>325</v>
      </c>
      <c r="V84" s="242" t="s">
        <v>325</v>
      </c>
      <c r="W84" s="255"/>
      <c r="X84" s="243">
        <v>0</v>
      </c>
    </row>
    <row r="85" spans="1:24" s="116" customFormat="1" ht="22" customHeight="1">
      <c r="A85" s="117">
        <v>6857311003</v>
      </c>
      <c r="B85" s="289" t="s">
        <v>323</v>
      </c>
      <c r="C85" s="241" t="s">
        <v>190</v>
      </c>
      <c r="D85" s="242" t="s">
        <v>325</v>
      </c>
      <c r="E85" s="241" t="s">
        <v>255</v>
      </c>
      <c r="F85" s="242" t="s">
        <v>325</v>
      </c>
      <c r="G85" s="243">
        <v>21.54</v>
      </c>
      <c r="H85" s="243">
        <v>0</v>
      </c>
      <c r="I85" s="243">
        <v>21.54</v>
      </c>
      <c r="J85" s="244">
        <v>41537</v>
      </c>
      <c r="K85" s="244">
        <v>41534</v>
      </c>
      <c r="L85" s="246">
        <v>28</v>
      </c>
      <c r="M85" s="241" t="s">
        <v>327</v>
      </c>
      <c r="N85" s="246" t="s">
        <v>191</v>
      </c>
      <c r="O85" s="245">
        <v>4</v>
      </c>
      <c r="P85" s="247"/>
      <c r="Q85" s="247"/>
      <c r="R85" s="243">
        <v>21.54</v>
      </c>
      <c r="S85" s="255"/>
      <c r="T85" s="255"/>
      <c r="U85" s="242" t="s">
        <v>325</v>
      </c>
      <c r="V85" s="242" t="s">
        <v>325</v>
      </c>
      <c r="W85" s="255"/>
      <c r="X85" s="243">
        <v>0</v>
      </c>
    </row>
    <row r="86" spans="1:24" s="116" customFormat="1" ht="22" customHeight="1">
      <c r="A86" s="117">
        <v>7312015014</v>
      </c>
      <c r="B86" s="289" t="s">
        <v>323</v>
      </c>
      <c r="C86" s="241" t="s">
        <v>192</v>
      </c>
      <c r="D86" s="242" t="s">
        <v>325</v>
      </c>
      <c r="E86" s="241" t="s">
        <v>326</v>
      </c>
      <c r="F86" s="242" t="s">
        <v>325</v>
      </c>
      <c r="G86" s="243">
        <v>25.49</v>
      </c>
      <c r="H86" s="243">
        <v>0</v>
      </c>
      <c r="I86" s="243">
        <v>25.49</v>
      </c>
      <c r="J86" s="244">
        <v>41530</v>
      </c>
      <c r="K86" s="244">
        <v>41528</v>
      </c>
      <c r="L86" s="246">
        <v>30</v>
      </c>
      <c r="M86" s="241" t="s">
        <v>327</v>
      </c>
      <c r="N86" s="246" t="s">
        <v>193</v>
      </c>
      <c r="O86" s="245">
        <v>84</v>
      </c>
      <c r="P86" s="247"/>
      <c r="Q86" s="247"/>
      <c r="R86" s="243">
        <v>25.49</v>
      </c>
      <c r="S86" s="255"/>
      <c r="T86" s="255"/>
      <c r="U86" s="242" t="s">
        <v>325</v>
      </c>
      <c r="V86" s="242" t="s">
        <v>325</v>
      </c>
      <c r="W86" s="255"/>
      <c r="X86" s="243">
        <v>0</v>
      </c>
    </row>
    <row r="87" spans="1:24" s="116" customFormat="1" ht="22" customHeight="1">
      <c r="A87" s="117">
        <v>8193819106</v>
      </c>
      <c r="B87" s="289" t="s">
        <v>323</v>
      </c>
      <c r="C87" s="241" t="s">
        <v>205</v>
      </c>
      <c r="D87" s="242" t="s">
        <v>325</v>
      </c>
      <c r="E87" s="242" t="s">
        <v>325</v>
      </c>
      <c r="F87" s="241" t="s">
        <v>335</v>
      </c>
      <c r="G87" s="243">
        <v>27.27</v>
      </c>
      <c r="H87" s="243">
        <v>0</v>
      </c>
      <c r="I87" s="243">
        <v>27.27</v>
      </c>
      <c r="J87" s="244">
        <v>41537</v>
      </c>
      <c r="K87" s="247"/>
      <c r="L87" s="255"/>
      <c r="M87" s="242" t="s">
        <v>325</v>
      </c>
      <c r="N87" s="248" t="s">
        <v>325</v>
      </c>
      <c r="O87" s="247"/>
      <c r="P87" s="247"/>
      <c r="Q87" s="247"/>
      <c r="R87" s="243">
        <v>0</v>
      </c>
      <c r="S87" s="311">
        <v>41534</v>
      </c>
      <c r="T87" s="246">
        <v>28</v>
      </c>
      <c r="U87" s="241" t="s">
        <v>327</v>
      </c>
      <c r="V87" s="241" t="s">
        <v>88</v>
      </c>
      <c r="W87" s="246">
        <v>13</v>
      </c>
      <c r="X87" s="243">
        <v>27.27</v>
      </c>
    </row>
    <row r="88" spans="1:24" s="116" customFormat="1" ht="22" customHeight="1">
      <c r="A88" s="117">
        <v>8714009102</v>
      </c>
      <c r="B88" s="289" t="s">
        <v>323</v>
      </c>
      <c r="C88" s="241" t="s">
        <v>89</v>
      </c>
      <c r="D88" s="242" t="s">
        <v>325</v>
      </c>
      <c r="E88" s="241" t="s">
        <v>326</v>
      </c>
      <c r="F88" s="241" t="s">
        <v>163</v>
      </c>
      <c r="G88" s="243">
        <v>157.59</v>
      </c>
      <c r="H88" s="243">
        <v>79.760000000000005</v>
      </c>
      <c r="I88" s="243">
        <v>77.83</v>
      </c>
      <c r="J88" s="244">
        <v>41509</v>
      </c>
      <c r="K88" s="244">
        <v>41506</v>
      </c>
      <c r="L88" s="246">
        <v>32</v>
      </c>
      <c r="M88" s="241" t="s">
        <v>327</v>
      </c>
      <c r="N88" s="246" t="s">
        <v>90</v>
      </c>
      <c r="O88" s="245">
        <v>550</v>
      </c>
      <c r="P88" s="247"/>
      <c r="Q88" s="247"/>
      <c r="R88" s="243">
        <v>52.27</v>
      </c>
      <c r="S88" s="311">
        <v>41506</v>
      </c>
      <c r="T88" s="246">
        <v>28</v>
      </c>
      <c r="U88" s="241" t="s">
        <v>327</v>
      </c>
      <c r="V88" s="241" t="s">
        <v>91</v>
      </c>
      <c r="W88" s="246">
        <v>3</v>
      </c>
      <c r="X88" s="243">
        <v>25.56</v>
      </c>
    </row>
    <row r="89" spans="1:24" s="116" customFormat="1" ht="22" customHeight="1">
      <c r="A89" s="117">
        <v>8993882105</v>
      </c>
      <c r="B89" s="289" t="s">
        <v>323</v>
      </c>
      <c r="C89" s="241" t="s">
        <v>92</v>
      </c>
      <c r="D89" s="242" t="s">
        <v>325</v>
      </c>
      <c r="E89" s="241" t="s">
        <v>330</v>
      </c>
      <c r="F89" s="242" t="s">
        <v>325</v>
      </c>
      <c r="G89" s="243">
        <v>95.01</v>
      </c>
      <c r="H89" s="243">
        <v>0</v>
      </c>
      <c r="I89" s="243">
        <v>95.01</v>
      </c>
      <c r="J89" s="244">
        <v>41537</v>
      </c>
      <c r="K89" s="244">
        <v>41537</v>
      </c>
      <c r="L89" s="246">
        <v>29</v>
      </c>
      <c r="M89" s="241" t="s">
        <v>327</v>
      </c>
      <c r="N89" s="248" t="s">
        <v>325</v>
      </c>
      <c r="O89" s="245">
        <v>73</v>
      </c>
      <c r="P89" s="247"/>
      <c r="Q89" s="247"/>
      <c r="R89" s="243">
        <v>95.01</v>
      </c>
      <c r="S89" s="255"/>
      <c r="T89" s="255"/>
      <c r="U89" s="242" t="s">
        <v>325</v>
      </c>
      <c r="V89" s="242" t="s">
        <v>325</v>
      </c>
      <c r="W89" s="255"/>
      <c r="X89" s="243">
        <v>0</v>
      </c>
    </row>
    <row r="90" spans="1:24" s="116" customFormat="1" ht="22" customHeight="1">
      <c r="A90" s="117">
        <v>9308810101</v>
      </c>
      <c r="B90" s="289" t="s">
        <v>323</v>
      </c>
      <c r="C90" s="241" t="s">
        <v>337</v>
      </c>
      <c r="D90" s="242" t="s">
        <v>325</v>
      </c>
      <c r="E90" s="242" t="s">
        <v>325</v>
      </c>
      <c r="F90" s="241" t="s">
        <v>335</v>
      </c>
      <c r="G90" s="243">
        <v>25.89</v>
      </c>
      <c r="H90" s="243">
        <v>0</v>
      </c>
      <c r="I90" s="243">
        <v>25.89</v>
      </c>
      <c r="J90" s="244">
        <v>41530</v>
      </c>
      <c r="K90" s="247"/>
      <c r="L90" s="255"/>
      <c r="M90" s="242" t="s">
        <v>325</v>
      </c>
      <c r="N90" s="248" t="s">
        <v>325</v>
      </c>
      <c r="O90" s="247"/>
      <c r="P90" s="247"/>
      <c r="Q90" s="247"/>
      <c r="R90" s="243">
        <v>0</v>
      </c>
      <c r="S90" s="311">
        <v>41528</v>
      </c>
      <c r="T90" s="246">
        <v>30</v>
      </c>
      <c r="U90" s="241" t="s">
        <v>327</v>
      </c>
      <c r="V90" s="241" t="s">
        <v>93</v>
      </c>
      <c r="W90" s="246">
        <v>9</v>
      </c>
      <c r="X90" s="243">
        <v>25.89</v>
      </c>
    </row>
    <row r="91" spans="1:24" s="116" customFormat="1" ht="22" customHeight="1">
      <c r="A91" s="117">
        <v>9428808118</v>
      </c>
      <c r="B91" s="289" t="s">
        <v>323</v>
      </c>
      <c r="C91" s="241" t="s">
        <v>94</v>
      </c>
      <c r="D91" s="242" t="s">
        <v>325</v>
      </c>
      <c r="E91" s="242" t="s">
        <v>325</v>
      </c>
      <c r="F91" s="241" t="s">
        <v>236</v>
      </c>
      <c r="G91" s="243">
        <v>20.36</v>
      </c>
      <c r="H91" s="243">
        <v>0</v>
      </c>
      <c r="I91" s="243">
        <v>20.36</v>
      </c>
      <c r="J91" s="244">
        <v>41530</v>
      </c>
      <c r="K91" s="247"/>
      <c r="L91" s="255"/>
      <c r="M91" s="242" t="s">
        <v>325</v>
      </c>
      <c r="N91" s="248" t="s">
        <v>325</v>
      </c>
      <c r="O91" s="247"/>
      <c r="P91" s="247"/>
      <c r="Q91" s="247"/>
      <c r="R91" s="243">
        <v>0</v>
      </c>
      <c r="S91" s="311">
        <v>41527</v>
      </c>
      <c r="T91" s="246">
        <v>29</v>
      </c>
      <c r="U91" s="241" t="s">
        <v>240</v>
      </c>
      <c r="V91" s="241" t="s">
        <v>97</v>
      </c>
      <c r="W91" s="246">
        <v>0</v>
      </c>
      <c r="X91" s="243">
        <v>20.36</v>
      </c>
    </row>
    <row r="92" spans="1:24" s="116" customFormat="1" ht="22" customHeight="1">
      <c r="A92" s="117">
        <v>9488810107</v>
      </c>
      <c r="B92" s="289" t="s">
        <v>323</v>
      </c>
      <c r="C92" s="241" t="s">
        <v>337</v>
      </c>
      <c r="D92" s="242" t="s">
        <v>325</v>
      </c>
      <c r="E92" s="241" t="s">
        <v>332</v>
      </c>
      <c r="F92" s="242" t="s">
        <v>325</v>
      </c>
      <c r="G92" s="243">
        <v>3955.92</v>
      </c>
      <c r="H92" s="243">
        <v>0</v>
      </c>
      <c r="I92" s="243">
        <v>3955.92</v>
      </c>
      <c r="J92" s="244">
        <v>41536</v>
      </c>
      <c r="K92" s="244">
        <v>41527</v>
      </c>
      <c r="L92" s="246">
        <v>32</v>
      </c>
      <c r="M92" s="241" t="s">
        <v>327</v>
      </c>
      <c r="N92" s="246" t="s">
        <v>134</v>
      </c>
      <c r="O92" s="245">
        <v>2880</v>
      </c>
      <c r="P92" s="245">
        <v>179.2</v>
      </c>
      <c r="Q92" s="245">
        <v>2.0926339285714284E-2</v>
      </c>
      <c r="R92" s="243">
        <v>1947.85</v>
      </c>
      <c r="S92" s="255"/>
      <c r="T92" s="255"/>
      <c r="U92" s="242" t="s">
        <v>325</v>
      </c>
      <c r="V92" s="242" t="s">
        <v>325</v>
      </c>
      <c r="W92" s="255"/>
      <c r="X92" s="243">
        <v>0</v>
      </c>
    </row>
    <row r="93" spans="1:24" s="116" customFormat="1" ht="22" customHeight="1">
      <c r="A93" s="117">
        <v>9529017113</v>
      </c>
      <c r="B93" s="289" t="s">
        <v>323</v>
      </c>
      <c r="C93" s="241" t="s">
        <v>99</v>
      </c>
      <c r="D93" s="242" t="s">
        <v>325</v>
      </c>
      <c r="E93" s="241" t="s">
        <v>326</v>
      </c>
      <c r="F93" s="242" t="s">
        <v>325</v>
      </c>
      <c r="G93" s="243">
        <v>86.77</v>
      </c>
      <c r="H93" s="243">
        <v>0</v>
      </c>
      <c r="I93" s="243">
        <v>86.77</v>
      </c>
      <c r="J93" s="244">
        <v>41533</v>
      </c>
      <c r="K93" s="244">
        <v>41528</v>
      </c>
      <c r="L93" s="246">
        <v>30</v>
      </c>
      <c r="M93" s="241" t="s">
        <v>327</v>
      </c>
      <c r="N93" s="246" t="s">
        <v>100</v>
      </c>
      <c r="O93" s="245">
        <v>1141</v>
      </c>
      <c r="P93" s="247"/>
      <c r="Q93" s="247"/>
      <c r="R93" s="243">
        <v>86.77</v>
      </c>
      <c r="S93" s="255"/>
      <c r="T93" s="255"/>
      <c r="U93" s="242" t="s">
        <v>325</v>
      </c>
      <c r="V93" s="242" t="s">
        <v>325</v>
      </c>
      <c r="W93" s="255"/>
      <c r="X93" s="243">
        <v>0</v>
      </c>
    </row>
    <row r="94" spans="1:24" s="116" customFormat="1" ht="22" customHeight="1">
      <c r="A94" s="117">
        <v>9753819107</v>
      </c>
      <c r="B94" s="289" t="s">
        <v>323</v>
      </c>
      <c r="C94" s="241" t="s">
        <v>101</v>
      </c>
      <c r="D94" s="242" t="s">
        <v>325</v>
      </c>
      <c r="E94" s="241" t="s">
        <v>332</v>
      </c>
      <c r="F94" s="241" t="s">
        <v>277</v>
      </c>
      <c r="G94" s="243">
        <v>808.86</v>
      </c>
      <c r="H94" s="243">
        <v>0</v>
      </c>
      <c r="I94" s="243">
        <v>808.86</v>
      </c>
      <c r="J94" s="244">
        <v>41537</v>
      </c>
      <c r="K94" s="244">
        <v>41537</v>
      </c>
      <c r="L94" s="246">
        <v>30</v>
      </c>
      <c r="M94" s="241" t="s">
        <v>327</v>
      </c>
      <c r="N94" s="246" t="s">
        <v>102</v>
      </c>
      <c r="O94" s="245">
        <v>16640</v>
      </c>
      <c r="P94" s="245">
        <v>59.2</v>
      </c>
      <c r="Q94" s="245">
        <v>0.39039039039039042</v>
      </c>
      <c r="R94" s="243">
        <v>784.69</v>
      </c>
      <c r="S94" s="311">
        <v>41534</v>
      </c>
      <c r="T94" s="246">
        <v>28</v>
      </c>
      <c r="U94" s="241" t="s">
        <v>327</v>
      </c>
      <c r="V94" s="241" t="s">
        <v>103</v>
      </c>
      <c r="W94" s="246">
        <v>0</v>
      </c>
      <c r="X94" s="243">
        <v>24.17</v>
      </c>
    </row>
    <row r="95" spans="1:24" s="116" customFormat="1" ht="22" customHeight="1">
      <c r="A95" s="117">
        <v>9753820119</v>
      </c>
      <c r="B95" s="289" t="s">
        <v>323</v>
      </c>
      <c r="C95" s="241" t="s">
        <v>104</v>
      </c>
      <c r="D95" s="242" t="s">
        <v>325</v>
      </c>
      <c r="E95" s="241" t="s">
        <v>326</v>
      </c>
      <c r="F95" s="242" t="s">
        <v>325</v>
      </c>
      <c r="G95" s="243">
        <v>22.82</v>
      </c>
      <c r="H95" s="243">
        <v>0</v>
      </c>
      <c r="I95" s="243">
        <v>22.82</v>
      </c>
      <c r="J95" s="244">
        <v>41537</v>
      </c>
      <c r="K95" s="244">
        <v>41534</v>
      </c>
      <c r="L95" s="246">
        <v>28</v>
      </c>
      <c r="M95" s="241" t="s">
        <v>327</v>
      </c>
      <c r="N95" s="246" t="s">
        <v>105</v>
      </c>
      <c r="O95" s="245">
        <v>38</v>
      </c>
      <c r="P95" s="247"/>
      <c r="Q95" s="247"/>
      <c r="R95" s="243">
        <v>22.82</v>
      </c>
      <c r="S95" s="255"/>
      <c r="T95" s="255"/>
      <c r="U95" s="242" t="s">
        <v>325</v>
      </c>
      <c r="V95" s="242" t="s">
        <v>325</v>
      </c>
      <c r="W95" s="255"/>
      <c r="X95" s="243">
        <v>0</v>
      </c>
    </row>
    <row r="96" spans="1:24" s="116" customFormat="1" ht="22" customHeight="1">
      <c r="A96" s="117">
        <v>9953820104</v>
      </c>
      <c r="B96" s="289" t="s">
        <v>323</v>
      </c>
      <c r="C96" s="241" t="s">
        <v>106</v>
      </c>
      <c r="D96" s="242" t="s">
        <v>325</v>
      </c>
      <c r="E96" s="241" t="s">
        <v>326</v>
      </c>
      <c r="F96" s="242" t="s">
        <v>325</v>
      </c>
      <c r="G96" s="243">
        <v>31.99</v>
      </c>
      <c r="H96" s="243">
        <v>0</v>
      </c>
      <c r="I96" s="243">
        <v>31.99</v>
      </c>
      <c r="J96" s="244">
        <v>41537</v>
      </c>
      <c r="K96" s="244">
        <v>41534</v>
      </c>
      <c r="L96" s="246">
        <v>28</v>
      </c>
      <c r="M96" s="241" t="s">
        <v>327</v>
      </c>
      <c r="N96" s="246" t="s">
        <v>107</v>
      </c>
      <c r="O96" s="245">
        <v>196</v>
      </c>
      <c r="P96" s="247"/>
      <c r="Q96" s="247"/>
      <c r="R96" s="243">
        <v>31.99</v>
      </c>
      <c r="S96" s="255"/>
      <c r="T96" s="255"/>
      <c r="U96" s="242" t="s">
        <v>325</v>
      </c>
      <c r="V96" s="242" t="s">
        <v>325</v>
      </c>
      <c r="W96" s="255"/>
      <c r="X96" s="243">
        <v>0</v>
      </c>
    </row>
    <row r="97" spans="1:25" s="116" customFormat="1" ht="22" customHeight="1">
      <c r="A97" s="247"/>
      <c r="B97" s="32"/>
      <c r="C97" s="247"/>
      <c r="D97" s="247"/>
      <c r="E97" s="247"/>
      <c r="F97" s="247"/>
      <c r="G97" s="247"/>
      <c r="H97" s="256"/>
      <c r="I97" s="256"/>
      <c r="J97" s="256"/>
      <c r="K97" s="247"/>
      <c r="L97" s="247"/>
      <c r="M97" s="255"/>
      <c r="N97" s="247"/>
      <c r="O97" s="255"/>
      <c r="P97" s="247"/>
      <c r="Q97" s="247"/>
      <c r="R97" s="247"/>
      <c r="S97" s="256"/>
      <c r="T97" s="255"/>
      <c r="U97" s="255"/>
      <c r="V97" s="247"/>
      <c r="W97" s="247"/>
      <c r="X97" s="255"/>
      <c r="Y97" s="304"/>
    </row>
    <row r="98" spans="1:25" s="116" customFormat="1" ht="22" customHeight="1">
      <c r="A98" s="247"/>
      <c r="B98" s="32"/>
      <c r="C98" s="247"/>
      <c r="D98" s="247"/>
      <c r="E98" s="247"/>
      <c r="F98" s="247"/>
      <c r="G98" s="247"/>
      <c r="H98" s="256"/>
      <c r="I98" s="312">
        <f>SUM(I15:I97)</f>
        <v>21886.070000000007</v>
      </c>
      <c r="J98" s="256">
        <f>SUM(J15:J97)</f>
        <v>3405651</v>
      </c>
      <c r="K98" s="247"/>
      <c r="L98" s="247"/>
      <c r="M98" s="255"/>
      <c r="N98" s="247"/>
      <c r="O98" s="255"/>
      <c r="P98" s="247"/>
      <c r="Q98" s="247"/>
      <c r="R98" s="247"/>
      <c r="S98" s="256"/>
      <c r="T98" s="255"/>
      <c r="U98" s="255"/>
      <c r="V98" s="247"/>
      <c r="W98" s="247"/>
      <c r="X98" s="255"/>
      <c r="Y98" s="304"/>
    </row>
    <row r="99" spans="1:25" ht="18" customHeight="1"/>
  </sheetData>
  <mergeCells count="3">
    <mergeCell ref="A5:E5"/>
    <mergeCell ref="A6:E6"/>
    <mergeCell ref="A11:B11"/>
  </mergeCells>
  <phoneticPr fontId="7" type="noConversion"/>
  <pageMargins left="0.5" right="0.5" top="0.5" bottom="0.5" header="0" footer="0"/>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4:Y109"/>
  <sheetViews>
    <sheetView zoomScaleNormal="145" zoomScaleSheetLayoutView="181" zoomScalePageLayoutView="145" workbookViewId="0"/>
  </sheetViews>
  <sheetFormatPr baseColWidth="10" defaultColWidth="60.33203125" defaultRowHeight="14" x14ac:dyDescent="0"/>
  <cols>
    <col min="1" max="1" width="18.83203125" style="247" customWidth="1"/>
    <col min="2" max="2" width="17.33203125" style="282" customWidth="1"/>
    <col min="3" max="3" width="48.1640625" style="247" customWidth="1"/>
    <col min="4" max="4" width="10.6640625" style="31" customWidth="1"/>
    <col min="5" max="5" width="12.5" style="31" customWidth="1"/>
    <col min="6" max="6" width="10" style="247" hidden="1" customWidth="1"/>
    <col min="7" max="7" width="12" style="247" hidden="1" customWidth="1"/>
    <col min="8" max="8" width="10.5" style="88" hidden="1" customWidth="1"/>
    <col min="9" max="9" width="12.33203125" style="88" customWidth="1"/>
    <col min="10" max="10" width="14.6640625" style="88" hidden="1" customWidth="1"/>
    <col min="11" max="11" width="13.6640625" style="31" hidden="1" customWidth="1"/>
    <col min="12" max="12" width="14.33203125" style="301" hidden="1" customWidth="1"/>
    <col min="13" max="13" width="8" style="31" hidden="1" customWidth="1"/>
    <col min="14" max="14" width="11.6640625" style="50" hidden="1" customWidth="1"/>
    <col min="15" max="15" width="9.83203125" style="255" customWidth="1"/>
    <col min="16" max="16" width="10.33203125" style="31" hidden="1" customWidth="1"/>
    <col min="17" max="17" width="8.5" style="31" hidden="1" customWidth="1"/>
    <col min="18" max="18" width="16.5" style="31" customWidth="1"/>
    <col min="19" max="19" width="14.5" style="88" hidden="1" customWidth="1"/>
    <col min="20" max="20" width="12.6640625" style="31" hidden="1" customWidth="1"/>
    <col min="21" max="21" width="6.83203125" style="31" hidden="1" customWidth="1"/>
    <col min="22" max="22" width="11.5" style="50" hidden="1" customWidth="1"/>
    <col min="23" max="23" width="10.33203125" style="31" customWidth="1"/>
    <col min="24" max="24" width="10.83203125" style="31" customWidth="1"/>
    <col min="25" max="25" width="11.1640625" style="88" customWidth="1"/>
    <col min="26" max="16384" width="60.33203125" style="31"/>
  </cols>
  <sheetData>
    <row r="4" spans="1:25" ht="15" thickBot="1"/>
    <row r="5" spans="1:25" ht="13.25" customHeight="1" thickBot="1">
      <c r="A5" s="720" t="s">
        <v>289</v>
      </c>
      <c r="B5" s="721"/>
      <c r="C5" s="721"/>
      <c r="D5" s="721"/>
      <c r="E5" s="722"/>
      <c r="F5" s="97"/>
      <c r="G5" s="98"/>
      <c r="H5" s="98"/>
      <c r="I5" s="98"/>
      <c r="J5" s="97"/>
      <c r="K5" s="97"/>
      <c r="M5" s="97"/>
      <c r="N5" s="314"/>
      <c r="O5" s="301"/>
      <c r="P5" s="97"/>
      <c r="Q5" s="97"/>
      <c r="R5" s="98"/>
      <c r="S5" s="98"/>
      <c r="T5" s="97"/>
      <c r="U5" s="97"/>
      <c r="V5" s="314"/>
      <c r="W5" s="97"/>
      <c r="X5" s="98"/>
      <c r="Y5" s="98"/>
    </row>
    <row r="6" spans="1:25" ht="14" customHeight="1" thickBot="1">
      <c r="A6" s="723" t="s">
        <v>290</v>
      </c>
      <c r="B6" s="724"/>
      <c r="C6" s="724"/>
      <c r="D6" s="724"/>
      <c r="E6" s="725"/>
      <c r="F6" s="97"/>
      <c r="G6" s="98"/>
      <c r="H6" s="98"/>
      <c r="I6" s="98"/>
      <c r="J6" s="97"/>
      <c r="K6" s="97"/>
      <c r="M6" s="97"/>
      <c r="N6" s="314"/>
      <c r="O6" s="301"/>
      <c r="P6" s="97"/>
      <c r="Q6" s="97"/>
      <c r="R6" s="98"/>
      <c r="S6" s="98"/>
      <c r="T6" s="97"/>
      <c r="U6" s="97"/>
      <c r="V6" s="314"/>
      <c r="W6" s="97"/>
      <c r="X6" s="98"/>
      <c r="Y6" s="98"/>
    </row>
    <row r="7" spans="1:25" ht="15" customHeight="1">
      <c r="A7" s="283" t="s">
        <v>291</v>
      </c>
      <c r="B7" s="315"/>
      <c r="C7" s="105"/>
      <c r="D7" s="105"/>
      <c r="E7" s="106"/>
      <c r="F7" s="97"/>
      <c r="G7" s="98"/>
      <c r="H7" s="98"/>
      <c r="I7" s="98"/>
      <c r="J7" s="97"/>
      <c r="K7" s="97"/>
      <c r="M7" s="97"/>
      <c r="N7" s="314"/>
      <c r="O7" s="301"/>
      <c r="P7" s="97"/>
      <c r="Q7" s="97"/>
      <c r="R7" s="98"/>
      <c r="S7" s="98"/>
      <c r="T7" s="97"/>
      <c r="U7" s="97"/>
      <c r="V7" s="314"/>
      <c r="W7" s="97"/>
      <c r="X7" s="98"/>
      <c r="Y7" s="98"/>
    </row>
    <row r="8" spans="1:25" ht="14" customHeight="1" thickBot="1">
      <c r="A8" s="93" t="s">
        <v>292</v>
      </c>
      <c r="B8" s="316"/>
      <c r="C8" s="95"/>
      <c r="D8" s="95"/>
      <c r="E8" s="96"/>
      <c r="F8" s="97"/>
      <c r="G8" s="98"/>
      <c r="H8" s="98"/>
      <c r="I8" s="98"/>
      <c r="J8" s="97"/>
      <c r="K8" s="97"/>
      <c r="M8" s="97"/>
      <c r="N8" s="314"/>
      <c r="O8" s="301"/>
      <c r="P8" s="97"/>
      <c r="Q8" s="97"/>
      <c r="R8" s="98"/>
      <c r="S8" s="98"/>
      <c r="T8" s="97"/>
      <c r="U8" s="97"/>
      <c r="V8" s="314"/>
      <c r="W8" s="97"/>
      <c r="X8" s="98"/>
      <c r="Y8" s="98"/>
    </row>
    <row r="9" spans="1:25" ht="14.5" customHeight="1" thickBot="1">
      <c r="A9" s="100" t="s">
        <v>293</v>
      </c>
      <c r="B9" s="317" t="s">
        <v>294</v>
      </c>
      <c r="C9" s="102">
        <v>41569</v>
      </c>
      <c r="D9" s="100" t="s">
        <v>295</v>
      </c>
      <c r="E9" s="102">
        <f>C9+14</f>
        <v>41583</v>
      </c>
      <c r="F9" s="97"/>
      <c r="G9" s="98"/>
      <c r="H9" s="98"/>
      <c r="I9" s="98"/>
      <c r="J9" s="97"/>
      <c r="K9" s="97"/>
      <c r="M9" s="97"/>
      <c r="N9" s="314"/>
      <c r="O9" s="301"/>
      <c r="P9" s="97"/>
      <c r="Q9" s="97"/>
      <c r="R9" s="98"/>
      <c r="S9" s="98"/>
      <c r="T9" s="97"/>
      <c r="U9" s="97"/>
      <c r="V9" s="314"/>
      <c r="W9" s="97"/>
      <c r="X9" s="98"/>
      <c r="Y9" s="98"/>
    </row>
    <row r="10" spans="1:25" ht="14.5" customHeight="1" thickBot="1">
      <c r="A10" s="103" t="s">
        <v>296</v>
      </c>
      <c r="B10" s="315">
        <f>J98</f>
        <v>3408065</v>
      </c>
      <c r="C10" s="105"/>
      <c r="D10" s="105"/>
      <c r="E10" s="106"/>
      <c r="F10" s="97"/>
      <c r="G10" s="98"/>
      <c r="H10" s="98"/>
      <c r="I10" s="98"/>
      <c r="J10" s="97"/>
      <c r="K10" s="97"/>
      <c r="M10" s="97"/>
      <c r="N10" s="314"/>
      <c r="O10" s="301"/>
      <c r="P10" s="97"/>
      <c r="Q10" s="97"/>
      <c r="R10" s="98"/>
      <c r="S10" s="98"/>
      <c r="T10" s="97"/>
      <c r="U10" s="97"/>
      <c r="V10" s="314"/>
      <c r="W10" s="97"/>
      <c r="X10" s="98"/>
      <c r="Y10" s="98"/>
    </row>
    <row r="11" spans="1:25" ht="14" customHeight="1" thickBot="1">
      <c r="A11" s="713" t="s">
        <v>297</v>
      </c>
      <c r="B11" s="714"/>
      <c r="C11" s="107">
        <v>41540</v>
      </c>
      <c r="D11" s="108" t="s">
        <v>298</v>
      </c>
      <c r="E11" s="102">
        <v>41569</v>
      </c>
      <c r="F11" s="97"/>
      <c r="G11" s="98"/>
      <c r="H11" s="98"/>
      <c r="I11" s="98"/>
      <c r="J11" s="97"/>
      <c r="K11" s="97"/>
      <c r="M11" s="97"/>
      <c r="N11" s="314"/>
      <c r="O11" s="301"/>
      <c r="P11" s="97"/>
      <c r="Q11" s="97"/>
      <c r="R11" s="98"/>
      <c r="S11" s="98"/>
      <c r="T11" s="97"/>
      <c r="U11" s="97"/>
      <c r="V11" s="314"/>
      <c r="W11" s="97"/>
      <c r="X11" s="98"/>
      <c r="Y11" s="98"/>
    </row>
    <row r="12" spans="1:25" ht="15" customHeight="1" thickBot="1">
      <c r="A12" s="109" t="s">
        <v>299</v>
      </c>
      <c r="B12" s="318"/>
      <c r="C12" s="111"/>
      <c r="D12" s="111"/>
      <c r="E12" s="112"/>
      <c r="F12" s="97"/>
      <c r="G12" s="98"/>
      <c r="H12" s="98"/>
      <c r="I12" s="98"/>
      <c r="J12" s="97"/>
      <c r="K12" s="97"/>
      <c r="M12" s="97"/>
      <c r="N12" s="314"/>
      <c r="O12" s="301"/>
      <c r="P12" s="97"/>
      <c r="Q12" s="97"/>
      <c r="R12" s="98"/>
      <c r="S12" s="98"/>
      <c r="T12" s="97"/>
      <c r="U12" s="97"/>
      <c r="V12" s="314"/>
      <c r="W12" s="97"/>
      <c r="X12" s="98"/>
      <c r="Y12" s="98"/>
    </row>
    <row r="13" spans="1:25" ht="14.5" customHeight="1" thickBot="1">
      <c r="A13" s="113">
        <f>E11</f>
        <v>41569</v>
      </c>
      <c r="B13" s="318"/>
      <c r="C13" s="111"/>
      <c r="D13" s="111"/>
      <c r="E13" s="112"/>
      <c r="F13" s="97"/>
      <c r="G13" s="98"/>
      <c r="H13" s="98"/>
      <c r="I13" s="98"/>
      <c r="J13" s="97"/>
      <c r="K13" s="97"/>
      <c r="M13" s="97"/>
      <c r="N13" s="314"/>
      <c r="O13" s="301"/>
      <c r="P13" s="97"/>
      <c r="Q13" s="97"/>
      <c r="R13" s="98"/>
      <c r="S13" s="98"/>
      <c r="T13" s="97"/>
      <c r="U13" s="97"/>
      <c r="V13" s="314"/>
      <c r="W13" s="97"/>
      <c r="X13" s="98"/>
      <c r="Y13" s="98"/>
    </row>
    <row r="14" spans="1:25" s="116" customFormat="1" ht="31" customHeight="1">
      <c r="A14" s="319" t="s">
        <v>370</v>
      </c>
      <c r="B14" s="320" t="s">
        <v>300</v>
      </c>
      <c r="C14" s="274" t="s">
        <v>301</v>
      </c>
      <c r="D14" s="274" t="s">
        <v>302</v>
      </c>
      <c r="E14" s="285" t="s">
        <v>303</v>
      </c>
      <c r="F14" s="285" t="s">
        <v>304</v>
      </c>
      <c r="G14" s="321" t="s">
        <v>305</v>
      </c>
      <c r="H14" s="321" t="s">
        <v>306</v>
      </c>
      <c r="I14" s="321" t="s">
        <v>307</v>
      </c>
      <c r="J14" s="274" t="s">
        <v>308</v>
      </c>
      <c r="K14" s="274" t="s">
        <v>309</v>
      </c>
      <c r="L14" s="274" t="s">
        <v>310</v>
      </c>
      <c r="M14" s="322" t="s">
        <v>311</v>
      </c>
      <c r="N14" s="274" t="s">
        <v>312</v>
      </c>
      <c r="O14" s="274" t="s">
        <v>313</v>
      </c>
      <c r="P14" s="274" t="s">
        <v>314</v>
      </c>
      <c r="Q14" s="274" t="s">
        <v>315</v>
      </c>
      <c r="R14" s="321" t="s">
        <v>316</v>
      </c>
      <c r="S14" s="274" t="s">
        <v>317</v>
      </c>
      <c r="T14" s="274" t="s">
        <v>318</v>
      </c>
      <c r="U14" s="322" t="s">
        <v>319</v>
      </c>
      <c r="V14" s="274" t="s">
        <v>320</v>
      </c>
      <c r="W14" s="274" t="s">
        <v>321</v>
      </c>
      <c r="X14" s="321" t="s">
        <v>322</v>
      </c>
    </row>
    <row r="15" spans="1:25" ht="16.25" customHeight="1">
      <c r="A15" s="270">
        <v>143027007</v>
      </c>
      <c r="B15" s="323" t="s">
        <v>323</v>
      </c>
      <c r="C15" s="276" t="s">
        <v>135</v>
      </c>
      <c r="D15" s="324" t="s">
        <v>325</v>
      </c>
      <c r="E15" s="290" t="s">
        <v>326</v>
      </c>
      <c r="F15" s="291" t="s">
        <v>325</v>
      </c>
      <c r="G15" s="325">
        <v>23.65</v>
      </c>
      <c r="H15" s="325">
        <v>0</v>
      </c>
      <c r="I15" s="325">
        <v>23.65</v>
      </c>
      <c r="J15" s="326">
        <v>41568</v>
      </c>
      <c r="K15" s="327">
        <v>41563</v>
      </c>
      <c r="L15" s="328">
        <v>29</v>
      </c>
      <c r="M15" s="329" t="s">
        <v>327</v>
      </c>
      <c r="N15" s="330" t="s">
        <v>328</v>
      </c>
      <c r="O15" s="328">
        <v>50</v>
      </c>
      <c r="P15" s="97"/>
      <c r="Q15" s="97"/>
      <c r="R15" s="325">
        <v>23.65</v>
      </c>
      <c r="S15" s="97"/>
      <c r="T15" s="97"/>
      <c r="U15" s="331" t="s">
        <v>325</v>
      </c>
      <c r="V15" s="324" t="s">
        <v>325</v>
      </c>
      <c r="W15" s="97"/>
      <c r="X15" s="325">
        <v>0</v>
      </c>
      <c r="Y15" s="31"/>
    </row>
    <row r="16" spans="1:25" ht="16.25" customHeight="1">
      <c r="A16" s="270">
        <v>173880101</v>
      </c>
      <c r="B16" s="323" t="s">
        <v>323</v>
      </c>
      <c r="C16" s="276" t="s">
        <v>329</v>
      </c>
      <c r="D16" s="324" t="s">
        <v>325</v>
      </c>
      <c r="E16" s="290" t="s">
        <v>330</v>
      </c>
      <c r="F16" s="291" t="s">
        <v>325</v>
      </c>
      <c r="G16" s="325">
        <v>11.38</v>
      </c>
      <c r="H16" s="325">
        <v>0</v>
      </c>
      <c r="I16" s="325">
        <v>11.38</v>
      </c>
      <c r="J16" s="326">
        <v>41568</v>
      </c>
      <c r="K16" s="327">
        <v>41568</v>
      </c>
      <c r="L16" s="328">
        <v>31</v>
      </c>
      <c r="M16" s="329" t="s">
        <v>327</v>
      </c>
      <c r="N16" s="332" t="s">
        <v>325</v>
      </c>
      <c r="O16" s="328">
        <v>65</v>
      </c>
      <c r="P16" s="97"/>
      <c r="Q16" s="97"/>
      <c r="R16" s="325">
        <v>11.38</v>
      </c>
      <c r="S16" s="97"/>
      <c r="T16" s="97"/>
      <c r="U16" s="331" t="s">
        <v>325</v>
      </c>
      <c r="V16" s="324" t="s">
        <v>325</v>
      </c>
      <c r="W16" s="97"/>
      <c r="X16" s="325">
        <v>0</v>
      </c>
      <c r="Y16" s="31"/>
    </row>
    <row r="17" spans="1:25" ht="16.25" customHeight="1">
      <c r="A17" s="270">
        <v>208811116</v>
      </c>
      <c r="B17" s="323" t="s">
        <v>323</v>
      </c>
      <c r="C17" s="276" t="s">
        <v>331</v>
      </c>
      <c r="D17" s="324" t="s">
        <v>325</v>
      </c>
      <c r="E17" s="290" t="s">
        <v>332</v>
      </c>
      <c r="F17" s="291" t="s">
        <v>325</v>
      </c>
      <c r="G17" s="325">
        <v>164.27</v>
      </c>
      <c r="H17" s="325">
        <v>0</v>
      </c>
      <c r="I17" s="325">
        <v>164.27</v>
      </c>
      <c r="J17" s="326">
        <v>41558</v>
      </c>
      <c r="K17" s="327">
        <v>41555</v>
      </c>
      <c r="L17" s="328">
        <v>28</v>
      </c>
      <c r="M17" s="329" t="s">
        <v>327</v>
      </c>
      <c r="N17" s="330" t="s">
        <v>333</v>
      </c>
      <c r="O17" s="328">
        <v>1348</v>
      </c>
      <c r="P17" s="328">
        <v>9.6</v>
      </c>
      <c r="Q17" s="328">
        <v>0.208953373015873</v>
      </c>
      <c r="R17" s="325">
        <v>164.27</v>
      </c>
      <c r="S17" s="97"/>
      <c r="T17" s="97"/>
      <c r="U17" s="331" t="s">
        <v>325</v>
      </c>
      <c r="V17" s="324" t="s">
        <v>325</v>
      </c>
      <c r="W17" s="97"/>
      <c r="X17" s="325">
        <v>0</v>
      </c>
      <c r="Y17" s="31"/>
    </row>
    <row r="18" spans="1:25" ht="16.25" customHeight="1">
      <c r="A18" s="270">
        <v>248811109</v>
      </c>
      <c r="B18" s="323" t="s">
        <v>323</v>
      </c>
      <c r="C18" s="276" t="s">
        <v>136</v>
      </c>
      <c r="D18" s="324" t="s">
        <v>325</v>
      </c>
      <c r="E18" s="291" t="s">
        <v>325</v>
      </c>
      <c r="F18" s="290" t="s">
        <v>335</v>
      </c>
      <c r="G18" s="325">
        <v>54.21</v>
      </c>
      <c r="H18" s="325">
        <v>0</v>
      </c>
      <c r="I18" s="325">
        <v>54.21</v>
      </c>
      <c r="J18" s="326">
        <v>41558</v>
      </c>
      <c r="K18" s="301"/>
      <c r="L18" s="97"/>
      <c r="M18" s="331" t="s">
        <v>325</v>
      </c>
      <c r="N18" s="332" t="s">
        <v>325</v>
      </c>
      <c r="O18" s="97"/>
      <c r="P18" s="97"/>
      <c r="Q18" s="97"/>
      <c r="R18" s="325">
        <v>0</v>
      </c>
      <c r="S18" s="326">
        <v>41555</v>
      </c>
      <c r="T18" s="328">
        <v>27</v>
      </c>
      <c r="U18" s="329" t="s">
        <v>327</v>
      </c>
      <c r="V18" s="276" t="s">
        <v>336</v>
      </c>
      <c r="W18" s="328">
        <v>89</v>
      </c>
      <c r="X18" s="325">
        <v>54.21</v>
      </c>
      <c r="Y18" s="31"/>
    </row>
    <row r="19" spans="1:25" ht="16.25" customHeight="1">
      <c r="A19" s="270">
        <v>288811101</v>
      </c>
      <c r="B19" s="323" t="s">
        <v>323</v>
      </c>
      <c r="C19" s="276" t="s">
        <v>337</v>
      </c>
      <c r="D19" s="324" t="s">
        <v>325</v>
      </c>
      <c r="E19" s="290" t="s">
        <v>332</v>
      </c>
      <c r="F19" s="291" t="s">
        <v>325</v>
      </c>
      <c r="G19" s="325">
        <v>516.9</v>
      </c>
      <c r="H19" s="325">
        <v>0</v>
      </c>
      <c r="I19" s="325">
        <v>516.9</v>
      </c>
      <c r="J19" s="326">
        <v>41558</v>
      </c>
      <c r="K19" s="327">
        <v>41555</v>
      </c>
      <c r="L19" s="328">
        <v>28</v>
      </c>
      <c r="M19" s="329" t="s">
        <v>327</v>
      </c>
      <c r="N19" s="330" t="s">
        <v>338</v>
      </c>
      <c r="O19" s="328">
        <v>8240</v>
      </c>
      <c r="P19" s="328">
        <v>37.6</v>
      </c>
      <c r="Q19" s="328">
        <v>0.32611448834853091</v>
      </c>
      <c r="R19" s="325">
        <v>516.9</v>
      </c>
      <c r="S19" s="97"/>
      <c r="T19" s="97"/>
      <c r="U19" s="331" t="s">
        <v>325</v>
      </c>
      <c r="V19" s="324" t="s">
        <v>325</v>
      </c>
      <c r="W19" s="97"/>
      <c r="X19" s="325">
        <v>0</v>
      </c>
      <c r="Y19" s="31"/>
    </row>
    <row r="20" spans="1:25" ht="16.25" customHeight="1">
      <c r="A20" s="270">
        <v>293879106</v>
      </c>
      <c r="B20" s="323" t="s">
        <v>323</v>
      </c>
      <c r="C20" s="276" t="s">
        <v>339</v>
      </c>
      <c r="D20" s="276" t="s">
        <v>340</v>
      </c>
      <c r="E20" s="290" t="s">
        <v>330</v>
      </c>
      <c r="F20" s="291" t="s">
        <v>325</v>
      </c>
      <c r="G20" s="325">
        <v>265.77999999999997</v>
      </c>
      <c r="H20" s="325">
        <v>0</v>
      </c>
      <c r="I20" s="325">
        <v>265.77999999999997</v>
      </c>
      <c r="J20" s="326">
        <v>41568</v>
      </c>
      <c r="K20" s="327">
        <v>41568</v>
      </c>
      <c r="L20" s="328">
        <v>31</v>
      </c>
      <c r="M20" s="329" t="s">
        <v>327</v>
      </c>
      <c r="N20" s="332" t="s">
        <v>325</v>
      </c>
      <c r="O20" s="328">
        <v>812</v>
      </c>
      <c r="P20" s="97"/>
      <c r="Q20" s="97"/>
      <c r="R20" s="325">
        <v>265.77999999999997</v>
      </c>
      <c r="S20" s="97"/>
      <c r="T20" s="97"/>
      <c r="U20" s="331" t="s">
        <v>325</v>
      </c>
      <c r="V20" s="324" t="s">
        <v>325</v>
      </c>
      <c r="W20" s="97"/>
      <c r="X20" s="325">
        <v>0</v>
      </c>
      <c r="Y20" s="31"/>
    </row>
    <row r="21" spans="1:25" ht="16.25" customHeight="1">
      <c r="A21" s="270">
        <v>308809118</v>
      </c>
      <c r="B21" s="323" t="s">
        <v>323</v>
      </c>
      <c r="C21" s="276" t="s">
        <v>341</v>
      </c>
      <c r="D21" s="324" t="s">
        <v>325</v>
      </c>
      <c r="E21" s="290" t="s">
        <v>342</v>
      </c>
      <c r="F21" s="290" t="s">
        <v>236</v>
      </c>
      <c r="G21" s="325">
        <v>93.07</v>
      </c>
      <c r="H21" s="325">
        <v>0</v>
      </c>
      <c r="I21" s="325">
        <v>93.07</v>
      </c>
      <c r="J21" s="326">
        <v>41558</v>
      </c>
      <c r="K21" s="327">
        <v>41555</v>
      </c>
      <c r="L21" s="328">
        <v>27</v>
      </c>
      <c r="M21" s="329" t="s">
        <v>327</v>
      </c>
      <c r="N21" s="330" t="s">
        <v>237</v>
      </c>
      <c r="O21" s="328">
        <v>302</v>
      </c>
      <c r="P21" s="97"/>
      <c r="Q21" s="97"/>
      <c r="R21" s="325">
        <v>31.46</v>
      </c>
      <c r="S21" s="326">
        <v>41555</v>
      </c>
      <c r="T21" s="328">
        <v>27</v>
      </c>
      <c r="U21" s="329" t="s">
        <v>327</v>
      </c>
      <c r="V21" s="276" t="s">
        <v>238</v>
      </c>
      <c r="W21" s="328">
        <v>54</v>
      </c>
      <c r="X21" s="325">
        <v>61.61</v>
      </c>
      <c r="Y21" s="31"/>
    </row>
    <row r="22" spans="1:25" ht="16.25" customHeight="1">
      <c r="A22" s="270">
        <v>375074007</v>
      </c>
      <c r="B22" s="323" t="s">
        <v>323</v>
      </c>
      <c r="C22" s="276" t="s">
        <v>239</v>
      </c>
      <c r="D22" s="324" t="s">
        <v>325</v>
      </c>
      <c r="E22" s="290" t="s">
        <v>326</v>
      </c>
      <c r="F22" s="291" t="s">
        <v>325</v>
      </c>
      <c r="G22" s="325">
        <v>32.61</v>
      </c>
      <c r="H22" s="325">
        <v>0</v>
      </c>
      <c r="I22" s="325">
        <v>32.61</v>
      </c>
      <c r="J22" s="326">
        <v>41568</v>
      </c>
      <c r="K22" s="327">
        <v>41563</v>
      </c>
      <c r="L22" s="328">
        <v>29</v>
      </c>
      <c r="M22" s="329" t="s">
        <v>327</v>
      </c>
      <c r="N22" s="330" t="s">
        <v>129</v>
      </c>
      <c r="O22" s="328">
        <v>198</v>
      </c>
      <c r="P22" s="97"/>
      <c r="Q22" s="97"/>
      <c r="R22" s="325">
        <v>32.61</v>
      </c>
      <c r="S22" s="97"/>
      <c r="T22" s="97"/>
      <c r="U22" s="331" t="s">
        <v>325</v>
      </c>
      <c r="V22" s="324" t="s">
        <v>325</v>
      </c>
      <c r="W22" s="97"/>
      <c r="X22" s="325">
        <v>0</v>
      </c>
      <c r="Y22" s="31"/>
    </row>
    <row r="23" spans="1:25" ht="16.25" customHeight="1">
      <c r="A23" s="270">
        <v>783104003</v>
      </c>
      <c r="B23" s="323" t="s">
        <v>323</v>
      </c>
      <c r="C23" s="276" t="s">
        <v>242</v>
      </c>
      <c r="D23" s="324" t="s">
        <v>325</v>
      </c>
      <c r="E23" s="290" t="s">
        <v>326</v>
      </c>
      <c r="F23" s="291" t="s">
        <v>325</v>
      </c>
      <c r="G23" s="325">
        <v>21.16</v>
      </c>
      <c r="H23" s="325">
        <v>0</v>
      </c>
      <c r="I23" s="325">
        <v>21.16</v>
      </c>
      <c r="J23" s="326">
        <v>41558</v>
      </c>
      <c r="K23" s="327">
        <v>41555</v>
      </c>
      <c r="L23" s="328">
        <v>28</v>
      </c>
      <c r="M23" s="329" t="s">
        <v>327</v>
      </c>
      <c r="N23" s="330" t="s">
        <v>243</v>
      </c>
      <c r="O23" s="328">
        <v>9</v>
      </c>
      <c r="P23" s="97"/>
      <c r="Q23" s="97"/>
      <c r="R23" s="325">
        <v>21.16</v>
      </c>
      <c r="S23" s="97"/>
      <c r="T23" s="97"/>
      <c r="U23" s="331" t="s">
        <v>325</v>
      </c>
      <c r="V23" s="324" t="s">
        <v>325</v>
      </c>
      <c r="W23" s="97"/>
      <c r="X23" s="325">
        <v>0</v>
      </c>
      <c r="Y23" s="31"/>
    </row>
    <row r="24" spans="1:25" ht="16.25" customHeight="1">
      <c r="A24" s="270">
        <v>852028007</v>
      </c>
      <c r="B24" s="323" t="s">
        <v>323</v>
      </c>
      <c r="C24" s="276" t="s">
        <v>244</v>
      </c>
      <c r="D24" s="324" t="s">
        <v>325</v>
      </c>
      <c r="E24" s="291" t="s">
        <v>325</v>
      </c>
      <c r="F24" s="290" t="s">
        <v>335</v>
      </c>
      <c r="G24" s="325">
        <v>44.31</v>
      </c>
      <c r="H24" s="325">
        <v>0</v>
      </c>
      <c r="I24" s="325">
        <v>44.31</v>
      </c>
      <c r="J24" s="326">
        <v>41568</v>
      </c>
      <c r="K24" s="301"/>
      <c r="L24" s="97"/>
      <c r="M24" s="331" t="s">
        <v>325</v>
      </c>
      <c r="N24" s="332" t="s">
        <v>325</v>
      </c>
      <c r="O24" s="97"/>
      <c r="P24" s="97"/>
      <c r="Q24" s="97"/>
      <c r="R24" s="325">
        <v>0</v>
      </c>
      <c r="S24" s="326">
        <v>41563</v>
      </c>
      <c r="T24" s="328">
        <v>29</v>
      </c>
      <c r="U24" s="329" t="s">
        <v>327</v>
      </c>
      <c r="V24" s="276" t="s">
        <v>245</v>
      </c>
      <c r="W24" s="328">
        <v>59</v>
      </c>
      <c r="X24" s="325">
        <v>44.31</v>
      </c>
      <c r="Y24" s="31"/>
    </row>
    <row r="25" spans="1:25" ht="16.25" customHeight="1">
      <c r="A25" s="270">
        <v>893816110</v>
      </c>
      <c r="B25" s="323" t="s">
        <v>323</v>
      </c>
      <c r="C25" s="276" t="s">
        <v>246</v>
      </c>
      <c r="D25" s="324" t="s">
        <v>325</v>
      </c>
      <c r="E25" s="290" t="s">
        <v>326</v>
      </c>
      <c r="F25" s="291" t="s">
        <v>325</v>
      </c>
      <c r="G25" s="325">
        <v>26.07</v>
      </c>
      <c r="H25" s="325">
        <v>0</v>
      </c>
      <c r="I25" s="325">
        <v>26.07</v>
      </c>
      <c r="J25" s="326">
        <v>41568</v>
      </c>
      <c r="K25" s="327">
        <v>41563</v>
      </c>
      <c r="L25" s="328">
        <v>29</v>
      </c>
      <c r="M25" s="329" t="s">
        <v>327</v>
      </c>
      <c r="N25" s="333">
        <v>57721749</v>
      </c>
      <c r="O25" s="328">
        <v>90</v>
      </c>
      <c r="P25" s="97"/>
      <c r="Q25" s="97"/>
      <c r="R25" s="325">
        <v>26.07</v>
      </c>
      <c r="S25" s="97"/>
      <c r="T25" s="97"/>
      <c r="U25" s="331" t="s">
        <v>325</v>
      </c>
      <c r="V25" s="324" t="s">
        <v>325</v>
      </c>
      <c r="W25" s="97"/>
      <c r="X25" s="325">
        <v>0</v>
      </c>
      <c r="Y25" s="31"/>
    </row>
    <row r="26" spans="1:25" ht="16.25" customHeight="1">
      <c r="A26" s="270">
        <v>893819102</v>
      </c>
      <c r="B26" s="323" t="s">
        <v>323</v>
      </c>
      <c r="C26" s="276" t="s">
        <v>248</v>
      </c>
      <c r="D26" s="324" t="s">
        <v>325</v>
      </c>
      <c r="E26" s="291" t="s">
        <v>325</v>
      </c>
      <c r="F26" s="290" t="s">
        <v>335</v>
      </c>
      <c r="G26" s="325">
        <v>23.77</v>
      </c>
      <c r="H26" s="325">
        <v>0</v>
      </c>
      <c r="I26" s="325">
        <v>23.77</v>
      </c>
      <c r="J26" s="326">
        <v>41568</v>
      </c>
      <c r="K26" s="301"/>
      <c r="L26" s="97"/>
      <c r="M26" s="331" t="s">
        <v>325</v>
      </c>
      <c r="N26" s="332" t="s">
        <v>325</v>
      </c>
      <c r="O26" s="97"/>
      <c r="P26" s="97"/>
      <c r="Q26" s="97"/>
      <c r="R26" s="325">
        <v>0</v>
      </c>
      <c r="S26" s="326">
        <v>41563</v>
      </c>
      <c r="T26" s="328">
        <v>29</v>
      </c>
      <c r="U26" s="329" t="s">
        <v>327</v>
      </c>
      <c r="V26" s="276" t="s">
        <v>249</v>
      </c>
      <c r="W26" s="328">
        <v>0</v>
      </c>
      <c r="X26" s="325">
        <v>23.77</v>
      </c>
      <c r="Y26" s="31"/>
    </row>
    <row r="27" spans="1:25" ht="16.25" customHeight="1">
      <c r="A27" s="270">
        <v>913819100</v>
      </c>
      <c r="B27" s="323" t="s">
        <v>323</v>
      </c>
      <c r="C27" s="276" t="s">
        <v>250</v>
      </c>
      <c r="D27" s="324" t="s">
        <v>325</v>
      </c>
      <c r="E27" s="291" t="s">
        <v>325</v>
      </c>
      <c r="F27" s="290" t="s">
        <v>335</v>
      </c>
      <c r="G27" s="325">
        <v>25.09</v>
      </c>
      <c r="H27" s="325">
        <v>0</v>
      </c>
      <c r="I27" s="325">
        <v>25.09</v>
      </c>
      <c r="J27" s="326">
        <v>41568</v>
      </c>
      <c r="K27" s="301"/>
      <c r="L27" s="97"/>
      <c r="M27" s="331" t="s">
        <v>325</v>
      </c>
      <c r="N27" s="332" t="s">
        <v>325</v>
      </c>
      <c r="O27" s="97"/>
      <c r="P27" s="97"/>
      <c r="Q27" s="97"/>
      <c r="R27" s="325">
        <v>0</v>
      </c>
      <c r="S27" s="326">
        <v>41563</v>
      </c>
      <c r="T27" s="328">
        <v>29</v>
      </c>
      <c r="U27" s="329" t="s">
        <v>327</v>
      </c>
      <c r="V27" s="276" t="s">
        <v>251</v>
      </c>
      <c r="W27" s="328">
        <v>6</v>
      </c>
      <c r="X27" s="325">
        <v>25.09</v>
      </c>
      <c r="Y27" s="31"/>
    </row>
    <row r="28" spans="1:25" ht="16.25" customHeight="1">
      <c r="A28" s="270">
        <v>933819115</v>
      </c>
      <c r="B28" s="323" t="s">
        <v>323</v>
      </c>
      <c r="C28" s="276" t="s">
        <v>252</v>
      </c>
      <c r="D28" s="324" t="s">
        <v>325</v>
      </c>
      <c r="E28" s="291" t="s">
        <v>325</v>
      </c>
      <c r="F28" s="290" t="s">
        <v>335</v>
      </c>
      <c r="G28" s="325">
        <v>24.36</v>
      </c>
      <c r="H28" s="325">
        <v>0</v>
      </c>
      <c r="I28" s="325">
        <v>24.36</v>
      </c>
      <c r="J28" s="326">
        <v>41568</v>
      </c>
      <c r="K28" s="301"/>
      <c r="L28" s="97"/>
      <c r="M28" s="331" t="s">
        <v>325</v>
      </c>
      <c r="N28" s="332" t="s">
        <v>325</v>
      </c>
      <c r="O28" s="97"/>
      <c r="P28" s="97"/>
      <c r="Q28" s="97"/>
      <c r="R28" s="325">
        <v>0</v>
      </c>
      <c r="S28" s="326">
        <v>41563</v>
      </c>
      <c r="T28" s="328">
        <v>29</v>
      </c>
      <c r="U28" s="329" t="s">
        <v>327</v>
      </c>
      <c r="V28" s="276" t="s">
        <v>253</v>
      </c>
      <c r="W28" s="328">
        <v>4</v>
      </c>
      <c r="X28" s="325">
        <v>24.36</v>
      </c>
      <c r="Y28" s="31"/>
    </row>
    <row r="29" spans="1:25" ht="16.25" customHeight="1">
      <c r="A29" s="270">
        <v>948810124</v>
      </c>
      <c r="B29" s="323" t="s">
        <v>323</v>
      </c>
      <c r="C29" s="276" t="s">
        <v>254</v>
      </c>
      <c r="D29" s="324" t="s">
        <v>325</v>
      </c>
      <c r="E29" s="290" t="s">
        <v>255</v>
      </c>
      <c r="F29" s="291" t="s">
        <v>325</v>
      </c>
      <c r="G29" s="325">
        <v>61.59</v>
      </c>
      <c r="H29" s="325">
        <v>0</v>
      </c>
      <c r="I29" s="325">
        <v>61.59</v>
      </c>
      <c r="J29" s="326">
        <v>41558</v>
      </c>
      <c r="K29" s="327">
        <v>41555</v>
      </c>
      <c r="L29" s="328">
        <v>28</v>
      </c>
      <c r="M29" s="329" t="s">
        <v>327</v>
      </c>
      <c r="N29" s="330" t="s">
        <v>256</v>
      </c>
      <c r="O29" s="328">
        <v>296</v>
      </c>
      <c r="P29" s="97"/>
      <c r="Q29" s="97"/>
      <c r="R29" s="325">
        <v>61.59</v>
      </c>
      <c r="S29" s="97"/>
      <c r="T29" s="97"/>
      <c r="U29" s="331" t="s">
        <v>325</v>
      </c>
      <c r="V29" s="324" t="s">
        <v>325</v>
      </c>
      <c r="W29" s="97"/>
      <c r="X29" s="325">
        <v>0</v>
      </c>
      <c r="Y29" s="31"/>
    </row>
    <row r="30" spans="1:25" ht="16.25" customHeight="1">
      <c r="A30" s="334">
        <v>1028809119</v>
      </c>
      <c r="B30" s="323" t="s">
        <v>323</v>
      </c>
      <c r="C30" s="276" t="s">
        <v>257</v>
      </c>
      <c r="D30" s="324" t="s">
        <v>325</v>
      </c>
      <c r="E30" s="290" t="s">
        <v>255</v>
      </c>
      <c r="F30" s="291" t="s">
        <v>325</v>
      </c>
      <c r="G30" s="325">
        <v>20.62</v>
      </c>
      <c r="H30" s="325">
        <v>0</v>
      </c>
      <c r="I30" s="325">
        <v>20.62</v>
      </c>
      <c r="J30" s="326">
        <v>41558</v>
      </c>
      <c r="K30" s="327">
        <v>41555</v>
      </c>
      <c r="L30" s="328">
        <v>27</v>
      </c>
      <c r="M30" s="329" t="s">
        <v>327</v>
      </c>
      <c r="N30" s="330" t="s">
        <v>258</v>
      </c>
      <c r="O30" s="328">
        <v>0</v>
      </c>
      <c r="P30" s="97"/>
      <c r="Q30" s="97"/>
      <c r="R30" s="325">
        <v>20.62</v>
      </c>
      <c r="S30" s="97"/>
      <c r="T30" s="97"/>
      <c r="U30" s="331" t="s">
        <v>325</v>
      </c>
      <c r="V30" s="324" t="s">
        <v>325</v>
      </c>
      <c r="W30" s="97"/>
      <c r="X30" s="325">
        <v>0</v>
      </c>
      <c r="Y30" s="31"/>
    </row>
    <row r="31" spans="1:25" ht="16.25" customHeight="1">
      <c r="A31" s="334">
        <v>1133133008</v>
      </c>
      <c r="B31" s="323" t="s">
        <v>323</v>
      </c>
      <c r="C31" s="276" t="s">
        <v>259</v>
      </c>
      <c r="D31" s="324" t="s">
        <v>325</v>
      </c>
      <c r="E31" s="290" t="s">
        <v>326</v>
      </c>
      <c r="F31" s="291" t="s">
        <v>325</v>
      </c>
      <c r="G31" s="325">
        <v>58.69</v>
      </c>
      <c r="H31" s="325">
        <v>29.27</v>
      </c>
      <c r="I31" s="325">
        <v>29.42</v>
      </c>
      <c r="J31" s="326">
        <v>41554</v>
      </c>
      <c r="K31" s="327">
        <v>41550</v>
      </c>
      <c r="L31" s="328">
        <v>29</v>
      </c>
      <c r="M31" s="329" t="s">
        <v>327</v>
      </c>
      <c r="N31" s="330" t="s">
        <v>260</v>
      </c>
      <c r="O31" s="328">
        <v>146</v>
      </c>
      <c r="P31" s="97"/>
      <c r="Q31" s="97"/>
      <c r="R31" s="325">
        <v>29.42</v>
      </c>
      <c r="S31" s="97"/>
      <c r="T31" s="97"/>
      <c r="U31" s="331" t="s">
        <v>325</v>
      </c>
      <c r="V31" s="324" t="s">
        <v>325</v>
      </c>
      <c r="W31" s="97"/>
      <c r="X31" s="325">
        <v>0</v>
      </c>
      <c r="Y31" s="31"/>
    </row>
    <row r="32" spans="1:25" ht="16.25" customHeight="1">
      <c r="A32" s="334">
        <v>1133819101</v>
      </c>
      <c r="B32" s="323" t="s">
        <v>323</v>
      </c>
      <c r="C32" s="276" t="s">
        <v>137</v>
      </c>
      <c r="D32" s="324" t="s">
        <v>325</v>
      </c>
      <c r="E32" s="290" t="s">
        <v>326</v>
      </c>
      <c r="F32" s="291" t="s">
        <v>325</v>
      </c>
      <c r="G32" s="325">
        <v>46</v>
      </c>
      <c r="H32" s="325">
        <v>0</v>
      </c>
      <c r="I32" s="325">
        <v>46</v>
      </c>
      <c r="J32" s="326">
        <v>41568</v>
      </c>
      <c r="K32" s="327">
        <v>41563</v>
      </c>
      <c r="L32" s="328">
        <v>29</v>
      </c>
      <c r="M32" s="329" t="s">
        <v>327</v>
      </c>
      <c r="N32" s="330" t="s">
        <v>262</v>
      </c>
      <c r="O32" s="328">
        <v>419</v>
      </c>
      <c r="P32" s="97"/>
      <c r="Q32" s="97"/>
      <c r="R32" s="325">
        <v>46</v>
      </c>
      <c r="S32" s="97"/>
      <c r="T32" s="97"/>
      <c r="U32" s="331" t="s">
        <v>325</v>
      </c>
      <c r="V32" s="324" t="s">
        <v>325</v>
      </c>
      <c r="W32" s="97"/>
      <c r="X32" s="325">
        <v>0</v>
      </c>
      <c r="Y32" s="31"/>
    </row>
    <row r="33" spans="1:25" ht="16.25" customHeight="1">
      <c r="A33" s="334">
        <v>1193808115</v>
      </c>
      <c r="B33" s="323" t="s">
        <v>323</v>
      </c>
      <c r="C33" s="276" t="s">
        <v>263</v>
      </c>
      <c r="D33" s="324" t="s">
        <v>325</v>
      </c>
      <c r="E33" s="290" t="s">
        <v>326</v>
      </c>
      <c r="F33" s="291" t="s">
        <v>325</v>
      </c>
      <c r="G33" s="325">
        <v>27</v>
      </c>
      <c r="H33" s="325">
        <v>0</v>
      </c>
      <c r="I33" s="325">
        <v>27</v>
      </c>
      <c r="J33" s="326">
        <v>41568</v>
      </c>
      <c r="K33" s="327">
        <v>41565</v>
      </c>
      <c r="L33" s="328">
        <v>31</v>
      </c>
      <c r="M33" s="329" t="s">
        <v>327</v>
      </c>
      <c r="N33" s="330" t="s">
        <v>264</v>
      </c>
      <c r="O33" s="328">
        <v>105</v>
      </c>
      <c r="P33" s="97"/>
      <c r="Q33" s="97"/>
      <c r="R33" s="325">
        <v>27</v>
      </c>
      <c r="S33" s="97"/>
      <c r="T33" s="97"/>
      <c r="U33" s="331" t="s">
        <v>325</v>
      </c>
      <c r="V33" s="324" t="s">
        <v>325</v>
      </c>
      <c r="W33" s="97"/>
      <c r="X33" s="325">
        <v>0</v>
      </c>
      <c r="Y33" s="31"/>
    </row>
    <row r="34" spans="1:25" ht="16.25" customHeight="1">
      <c r="A34" s="334">
        <v>1492627005</v>
      </c>
      <c r="B34" s="323" t="s">
        <v>323</v>
      </c>
      <c r="C34" s="276" t="s">
        <v>265</v>
      </c>
      <c r="D34" s="324" t="s">
        <v>325</v>
      </c>
      <c r="E34" s="290" t="s">
        <v>326</v>
      </c>
      <c r="F34" s="290" t="s">
        <v>325</v>
      </c>
      <c r="G34" s="325">
        <v>25.51</v>
      </c>
      <c r="H34" s="325">
        <v>0</v>
      </c>
      <c r="I34" s="325">
        <v>25.51</v>
      </c>
      <c r="J34" s="326">
        <v>41558</v>
      </c>
      <c r="K34" s="327">
        <v>41555</v>
      </c>
      <c r="L34" s="328">
        <v>28</v>
      </c>
      <c r="M34" s="329" t="s">
        <v>327</v>
      </c>
      <c r="N34" s="330" t="s">
        <v>266</v>
      </c>
      <c r="O34" s="328">
        <v>81</v>
      </c>
      <c r="P34" s="97"/>
      <c r="Q34" s="97"/>
      <c r="R34" s="325">
        <v>25.51</v>
      </c>
      <c r="S34" s="97"/>
      <c r="T34" s="97"/>
      <c r="U34" s="329" t="s">
        <v>325</v>
      </c>
      <c r="V34" s="276" t="s">
        <v>325</v>
      </c>
      <c r="W34" s="97"/>
      <c r="X34" s="325">
        <v>0</v>
      </c>
      <c r="Y34" s="31"/>
    </row>
    <row r="35" spans="1:25" ht="16.25" customHeight="1">
      <c r="A35" s="334">
        <v>1513818115</v>
      </c>
      <c r="B35" s="323" t="s">
        <v>323</v>
      </c>
      <c r="C35" s="276" t="s">
        <v>267</v>
      </c>
      <c r="D35" s="276" t="s">
        <v>325</v>
      </c>
      <c r="E35" s="290" t="s">
        <v>326</v>
      </c>
      <c r="F35" s="290" t="s">
        <v>325</v>
      </c>
      <c r="G35" s="325">
        <v>27.4</v>
      </c>
      <c r="H35" s="325">
        <v>0</v>
      </c>
      <c r="I35" s="325">
        <v>27.4</v>
      </c>
      <c r="J35" s="326">
        <v>41568</v>
      </c>
      <c r="K35" s="327">
        <v>41563</v>
      </c>
      <c r="L35" s="328">
        <v>29</v>
      </c>
      <c r="M35" s="329" t="s">
        <v>327</v>
      </c>
      <c r="N35" s="330" t="s">
        <v>268</v>
      </c>
      <c r="O35" s="328">
        <v>112</v>
      </c>
      <c r="P35" s="97"/>
      <c r="Q35" s="97"/>
      <c r="R35" s="325">
        <v>27.4</v>
      </c>
      <c r="S35" s="97"/>
      <c r="T35" s="97"/>
      <c r="U35" s="329" t="s">
        <v>325</v>
      </c>
      <c r="V35" s="276" t="s">
        <v>325</v>
      </c>
      <c r="W35" s="97"/>
      <c r="X35" s="325">
        <v>0</v>
      </c>
      <c r="Y35" s="31"/>
    </row>
    <row r="36" spans="1:25" ht="16.25" customHeight="1">
      <c r="A36" s="334">
        <v>1608811106</v>
      </c>
      <c r="B36" s="323" t="s">
        <v>323</v>
      </c>
      <c r="C36" s="276" t="s">
        <v>337</v>
      </c>
      <c r="D36" s="276" t="s">
        <v>325</v>
      </c>
      <c r="E36" s="290" t="s">
        <v>332</v>
      </c>
      <c r="F36" s="290" t="s">
        <v>325</v>
      </c>
      <c r="G36" s="325">
        <v>557.51</v>
      </c>
      <c r="H36" s="325">
        <v>0</v>
      </c>
      <c r="I36" s="325">
        <v>557.51</v>
      </c>
      <c r="J36" s="326">
        <v>41558</v>
      </c>
      <c r="K36" s="327">
        <v>41555</v>
      </c>
      <c r="L36" s="328">
        <v>28</v>
      </c>
      <c r="M36" s="329" t="s">
        <v>327</v>
      </c>
      <c r="N36" s="330" t="s">
        <v>111</v>
      </c>
      <c r="O36" s="328">
        <v>3604</v>
      </c>
      <c r="P36" s="328">
        <v>45.3</v>
      </c>
      <c r="Q36" s="328">
        <v>0.11839062335751079</v>
      </c>
      <c r="R36" s="325">
        <v>557.51</v>
      </c>
      <c r="S36" s="97"/>
      <c r="T36" s="97"/>
      <c r="U36" s="329" t="s">
        <v>325</v>
      </c>
      <c r="V36" s="276" t="s">
        <v>325</v>
      </c>
      <c r="W36" s="97"/>
      <c r="X36" s="325">
        <v>0</v>
      </c>
      <c r="Y36" s="31"/>
    </row>
    <row r="37" spans="1:25" ht="16.25" customHeight="1">
      <c r="A37" s="334">
        <v>1653819107</v>
      </c>
      <c r="B37" s="323" t="s">
        <v>323</v>
      </c>
      <c r="C37" s="276" t="s">
        <v>138</v>
      </c>
      <c r="D37" s="276" t="s">
        <v>325</v>
      </c>
      <c r="E37" s="290" t="s">
        <v>326</v>
      </c>
      <c r="F37" s="290" t="s">
        <v>325</v>
      </c>
      <c r="G37" s="325">
        <v>69.680000000000007</v>
      </c>
      <c r="H37" s="325">
        <v>0</v>
      </c>
      <c r="I37" s="325">
        <v>69.680000000000007</v>
      </c>
      <c r="J37" s="326">
        <v>41568</v>
      </c>
      <c r="K37" s="327">
        <v>41563</v>
      </c>
      <c r="L37" s="328">
        <v>29</v>
      </c>
      <c r="M37" s="329" t="s">
        <v>327</v>
      </c>
      <c r="N37" s="330" t="s">
        <v>271</v>
      </c>
      <c r="O37" s="328">
        <v>810</v>
      </c>
      <c r="P37" s="97"/>
      <c r="Q37" s="97"/>
      <c r="R37" s="325">
        <v>69.680000000000007</v>
      </c>
      <c r="S37" s="97"/>
      <c r="T37" s="97"/>
      <c r="U37" s="329" t="s">
        <v>325</v>
      </c>
      <c r="V37" s="276" t="s">
        <v>325</v>
      </c>
      <c r="W37" s="97"/>
      <c r="X37" s="325">
        <v>0</v>
      </c>
      <c r="Y37" s="31"/>
    </row>
    <row r="38" spans="1:25" ht="16.25" customHeight="1">
      <c r="A38" s="334">
        <v>1833820108</v>
      </c>
      <c r="B38" s="323" t="s">
        <v>323</v>
      </c>
      <c r="C38" s="276" t="s">
        <v>139</v>
      </c>
      <c r="D38" s="276" t="s">
        <v>325</v>
      </c>
      <c r="E38" s="290" t="s">
        <v>326</v>
      </c>
      <c r="F38" s="290" t="s">
        <v>325</v>
      </c>
      <c r="G38" s="325">
        <v>70.760000000000005</v>
      </c>
      <c r="H38" s="325">
        <v>0</v>
      </c>
      <c r="I38" s="325">
        <v>70.760000000000005</v>
      </c>
      <c r="J38" s="326">
        <v>41568</v>
      </c>
      <c r="K38" s="327">
        <v>41563</v>
      </c>
      <c r="L38" s="328">
        <v>29</v>
      </c>
      <c r="M38" s="329" t="s">
        <v>327</v>
      </c>
      <c r="N38" s="330" t="s">
        <v>273</v>
      </c>
      <c r="O38" s="328">
        <v>828</v>
      </c>
      <c r="P38" s="97"/>
      <c r="Q38" s="97"/>
      <c r="R38" s="325">
        <v>70.760000000000005</v>
      </c>
      <c r="S38" s="97"/>
      <c r="T38" s="97"/>
      <c r="U38" s="329" t="s">
        <v>325</v>
      </c>
      <c r="V38" s="276" t="s">
        <v>325</v>
      </c>
      <c r="W38" s="97"/>
      <c r="X38" s="325">
        <v>0</v>
      </c>
      <c r="Y38" s="31"/>
    </row>
    <row r="39" spans="1:25" ht="16.25" customHeight="1">
      <c r="A39" s="334">
        <v>1851009009</v>
      </c>
      <c r="B39" s="323" t="s">
        <v>323</v>
      </c>
      <c r="C39" s="276" t="s">
        <v>274</v>
      </c>
      <c r="D39" s="276" t="s">
        <v>325</v>
      </c>
      <c r="E39" s="290" t="s">
        <v>326</v>
      </c>
      <c r="F39" s="290" t="s">
        <v>325</v>
      </c>
      <c r="G39" s="325">
        <v>45.56</v>
      </c>
      <c r="H39" s="325">
        <v>0</v>
      </c>
      <c r="I39" s="325">
        <v>45.56</v>
      </c>
      <c r="J39" s="326">
        <v>41568</v>
      </c>
      <c r="K39" s="327">
        <v>41563</v>
      </c>
      <c r="L39" s="328">
        <v>29</v>
      </c>
      <c r="M39" s="329" t="s">
        <v>327</v>
      </c>
      <c r="N39" s="330" t="s">
        <v>275</v>
      </c>
      <c r="O39" s="328">
        <v>412</v>
      </c>
      <c r="P39" s="97"/>
      <c r="Q39" s="97"/>
      <c r="R39" s="325">
        <v>45.56</v>
      </c>
      <c r="S39" s="97"/>
      <c r="T39" s="97"/>
      <c r="U39" s="329" t="s">
        <v>325</v>
      </c>
      <c r="V39" s="276" t="s">
        <v>325</v>
      </c>
      <c r="W39" s="97"/>
      <c r="X39" s="325">
        <v>0</v>
      </c>
      <c r="Y39" s="31"/>
    </row>
    <row r="40" spans="1:25" ht="16.25" customHeight="1">
      <c r="A40" s="334">
        <v>1933810131</v>
      </c>
      <c r="B40" s="323" t="s">
        <v>323</v>
      </c>
      <c r="C40" s="276" t="s">
        <v>276</v>
      </c>
      <c r="D40" s="276" t="s">
        <v>325</v>
      </c>
      <c r="E40" s="290" t="s">
        <v>332</v>
      </c>
      <c r="F40" s="290" t="s">
        <v>277</v>
      </c>
      <c r="G40" s="325">
        <v>131.9</v>
      </c>
      <c r="H40" s="325">
        <v>0</v>
      </c>
      <c r="I40" s="325">
        <v>131.9</v>
      </c>
      <c r="J40" s="326">
        <v>41568</v>
      </c>
      <c r="K40" s="327">
        <v>41563</v>
      </c>
      <c r="L40" s="328">
        <v>29</v>
      </c>
      <c r="M40" s="329" t="s">
        <v>327</v>
      </c>
      <c r="N40" s="330" t="s">
        <v>278</v>
      </c>
      <c r="O40" s="328">
        <v>399</v>
      </c>
      <c r="P40" s="328">
        <v>4.3</v>
      </c>
      <c r="Q40" s="328">
        <v>0.13331996792301523</v>
      </c>
      <c r="R40" s="325">
        <v>100.65</v>
      </c>
      <c r="S40" s="326">
        <v>41563</v>
      </c>
      <c r="T40" s="328">
        <v>29</v>
      </c>
      <c r="U40" s="329" t="s">
        <v>327</v>
      </c>
      <c r="V40" s="276" t="s">
        <v>279</v>
      </c>
      <c r="W40" s="328">
        <v>10</v>
      </c>
      <c r="X40" s="325">
        <v>31.25</v>
      </c>
      <c r="Y40" s="31"/>
    </row>
    <row r="41" spans="1:25" ht="16.25" customHeight="1">
      <c r="A41" s="334">
        <v>2133819102</v>
      </c>
      <c r="B41" s="323" t="s">
        <v>323</v>
      </c>
      <c r="C41" s="276" t="s">
        <v>280</v>
      </c>
      <c r="D41" s="276" t="s">
        <v>325</v>
      </c>
      <c r="E41" s="290" t="s">
        <v>332</v>
      </c>
      <c r="F41" s="290" t="s">
        <v>325</v>
      </c>
      <c r="G41" s="325">
        <v>149.32</v>
      </c>
      <c r="H41" s="325">
        <v>0</v>
      </c>
      <c r="I41" s="325">
        <v>149.32</v>
      </c>
      <c r="J41" s="326">
        <v>41568</v>
      </c>
      <c r="K41" s="327">
        <v>41563</v>
      </c>
      <c r="L41" s="328">
        <v>29</v>
      </c>
      <c r="M41" s="329" t="s">
        <v>327</v>
      </c>
      <c r="N41" s="330" t="s">
        <v>112</v>
      </c>
      <c r="O41" s="328">
        <v>814</v>
      </c>
      <c r="P41" s="328">
        <v>8.6</v>
      </c>
      <c r="Q41" s="328">
        <v>0.13599304998663458</v>
      </c>
      <c r="R41" s="325">
        <v>149.32</v>
      </c>
      <c r="S41" s="97"/>
      <c r="T41" s="97"/>
      <c r="U41" s="329" t="s">
        <v>325</v>
      </c>
      <c r="V41" s="276" t="s">
        <v>325</v>
      </c>
      <c r="W41" s="97"/>
      <c r="X41" s="325">
        <v>0</v>
      </c>
      <c r="Y41" s="31"/>
    </row>
    <row r="42" spans="1:25" ht="16.25" customHeight="1">
      <c r="A42" s="334">
        <v>2133821120</v>
      </c>
      <c r="B42" s="323" t="s">
        <v>323</v>
      </c>
      <c r="C42" s="276" t="s">
        <v>194</v>
      </c>
      <c r="D42" s="276" t="s">
        <v>325</v>
      </c>
      <c r="E42" s="290" t="s">
        <v>326</v>
      </c>
      <c r="F42" s="290" t="s">
        <v>325</v>
      </c>
      <c r="G42" s="325">
        <v>50.44</v>
      </c>
      <c r="H42" s="325">
        <v>0</v>
      </c>
      <c r="I42" s="325">
        <v>50.44</v>
      </c>
      <c r="J42" s="326">
        <v>41568</v>
      </c>
      <c r="K42" s="327">
        <v>41568</v>
      </c>
      <c r="L42" s="328">
        <v>33</v>
      </c>
      <c r="M42" s="329" t="s">
        <v>327</v>
      </c>
      <c r="N42" s="330" t="s">
        <v>195</v>
      </c>
      <c r="O42" s="328">
        <v>492</v>
      </c>
      <c r="P42" s="97"/>
      <c r="Q42" s="97"/>
      <c r="R42" s="325">
        <v>50.44</v>
      </c>
      <c r="S42" s="97"/>
      <c r="T42" s="97"/>
      <c r="U42" s="329" t="s">
        <v>325</v>
      </c>
      <c r="V42" s="276" t="s">
        <v>325</v>
      </c>
      <c r="W42" s="97"/>
      <c r="X42" s="325">
        <v>0</v>
      </c>
      <c r="Y42" s="31"/>
    </row>
    <row r="43" spans="1:25" ht="16.25" customHeight="1">
      <c r="A43" s="334">
        <v>2137454018</v>
      </c>
      <c r="B43" s="323" t="s">
        <v>323</v>
      </c>
      <c r="C43" s="276" t="s">
        <v>140</v>
      </c>
      <c r="D43" s="276" t="s">
        <v>325</v>
      </c>
      <c r="E43" s="290" t="s">
        <v>255</v>
      </c>
      <c r="F43" s="290" t="s">
        <v>325</v>
      </c>
      <c r="G43" s="325">
        <v>21.17</v>
      </c>
      <c r="H43" s="325">
        <v>0</v>
      </c>
      <c r="I43" s="325">
        <v>21.17</v>
      </c>
      <c r="J43" s="326">
        <v>41568</v>
      </c>
      <c r="K43" s="327">
        <v>41563</v>
      </c>
      <c r="L43" s="328">
        <v>29</v>
      </c>
      <c r="M43" s="329" t="s">
        <v>327</v>
      </c>
      <c r="N43" s="330" t="s">
        <v>197</v>
      </c>
      <c r="O43" s="328">
        <v>4</v>
      </c>
      <c r="P43" s="97"/>
      <c r="Q43" s="97"/>
      <c r="R43" s="325">
        <v>21.17</v>
      </c>
      <c r="S43" s="97"/>
      <c r="T43" s="97"/>
      <c r="U43" s="329" t="s">
        <v>325</v>
      </c>
      <c r="V43" s="276" t="s">
        <v>325</v>
      </c>
      <c r="W43" s="97"/>
      <c r="X43" s="325">
        <v>0</v>
      </c>
      <c r="Y43" s="31"/>
    </row>
    <row r="44" spans="1:25" ht="16.25" customHeight="1">
      <c r="A44" s="334">
        <v>2217686007</v>
      </c>
      <c r="B44" s="323" t="s">
        <v>323</v>
      </c>
      <c r="C44" s="276" t="s">
        <v>198</v>
      </c>
      <c r="D44" s="276" t="s">
        <v>325</v>
      </c>
      <c r="E44" s="290" t="s">
        <v>255</v>
      </c>
      <c r="F44" s="290" t="s">
        <v>325</v>
      </c>
      <c r="G44" s="325">
        <v>58.4</v>
      </c>
      <c r="H44" s="325">
        <v>0</v>
      </c>
      <c r="I44" s="325">
        <v>58.4</v>
      </c>
      <c r="J44" s="326">
        <v>41568</v>
      </c>
      <c r="K44" s="327">
        <v>41563</v>
      </c>
      <c r="L44" s="328">
        <v>29</v>
      </c>
      <c r="M44" s="329" t="s">
        <v>327</v>
      </c>
      <c r="N44" s="330" t="s">
        <v>199</v>
      </c>
      <c r="O44" s="328">
        <v>267</v>
      </c>
      <c r="P44" s="97"/>
      <c r="Q44" s="97"/>
      <c r="R44" s="325">
        <v>58.4</v>
      </c>
      <c r="S44" s="97"/>
      <c r="T44" s="97"/>
      <c r="U44" s="329" t="s">
        <v>325</v>
      </c>
      <c r="V44" s="276" t="s">
        <v>325</v>
      </c>
      <c r="W44" s="97"/>
      <c r="X44" s="325">
        <v>0</v>
      </c>
      <c r="Y44" s="31"/>
    </row>
    <row r="45" spans="1:25" ht="16.25" customHeight="1">
      <c r="A45" s="334">
        <v>2480127108</v>
      </c>
      <c r="B45" s="323" t="s">
        <v>323</v>
      </c>
      <c r="C45" s="276" t="s">
        <v>200</v>
      </c>
      <c r="D45" s="276" t="s">
        <v>325</v>
      </c>
      <c r="E45" s="290" t="s">
        <v>201</v>
      </c>
      <c r="F45" s="290" t="s">
        <v>325</v>
      </c>
      <c r="G45" s="325">
        <v>89.37</v>
      </c>
      <c r="H45" s="325">
        <v>44.61</v>
      </c>
      <c r="I45" s="325">
        <v>44.76</v>
      </c>
      <c r="J45" s="326">
        <v>41548</v>
      </c>
      <c r="K45" s="327">
        <v>41548</v>
      </c>
      <c r="L45" s="328">
        <v>28</v>
      </c>
      <c r="M45" s="329" t="s">
        <v>327</v>
      </c>
      <c r="N45" s="330" t="s">
        <v>325</v>
      </c>
      <c r="O45" s="328">
        <v>332</v>
      </c>
      <c r="P45" s="97"/>
      <c r="Q45" s="97"/>
      <c r="R45" s="325">
        <v>44.76</v>
      </c>
      <c r="S45" s="97"/>
      <c r="T45" s="97"/>
      <c r="U45" s="329" t="s">
        <v>325</v>
      </c>
      <c r="V45" s="276" t="s">
        <v>325</v>
      </c>
      <c r="W45" s="97"/>
      <c r="X45" s="325">
        <v>0</v>
      </c>
      <c r="Y45" s="31"/>
    </row>
    <row r="46" spans="1:25" ht="16.25" customHeight="1">
      <c r="A46" s="334">
        <v>2533809113</v>
      </c>
      <c r="B46" s="323" t="s">
        <v>323</v>
      </c>
      <c r="C46" s="276" t="s">
        <v>202</v>
      </c>
      <c r="D46" s="276" t="s">
        <v>325</v>
      </c>
      <c r="E46" s="290" t="s">
        <v>326</v>
      </c>
      <c r="F46" s="290" t="s">
        <v>277</v>
      </c>
      <c r="G46" s="325">
        <v>100.2</v>
      </c>
      <c r="H46" s="325">
        <v>0</v>
      </c>
      <c r="I46" s="325">
        <v>100.2</v>
      </c>
      <c r="J46" s="326">
        <v>41568</v>
      </c>
      <c r="K46" s="327">
        <v>41563</v>
      </c>
      <c r="L46" s="328">
        <v>29</v>
      </c>
      <c r="M46" s="329" t="s">
        <v>327</v>
      </c>
      <c r="N46" s="330" t="s">
        <v>116</v>
      </c>
      <c r="O46" s="328">
        <v>899</v>
      </c>
      <c r="P46" s="97"/>
      <c r="Q46" s="97"/>
      <c r="R46" s="325">
        <v>75.08</v>
      </c>
      <c r="S46" s="326">
        <v>41563</v>
      </c>
      <c r="T46" s="328">
        <v>29</v>
      </c>
      <c r="U46" s="329" t="s">
        <v>327</v>
      </c>
      <c r="V46" s="276" t="s">
        <v>204</v>
      </c>
      <c r="W46" s="328">
        <v>2</v>
      </c>
      <c r="X46" s="325">
        <v>25.12</v>
      </c>
      <c r="Y46" s="31"/>
    </row>
    <row r="47" spans="1:25" ht="16.25" customHeight="1">
      <c r="A47" s="334">
        <v>2693810107</v>
      </c>
      <c r="B47" s="323" t="s">
        <v>323</v>
      </c>
      <c r="C47" s="276" t="s">
        <v>205</v>
      </c>
      <c r="D47" s="324" t="s">
        <v>325</v>
      </c>
      <c r="E47" s="290" t="s">
        <v>332</v>
      </c>
      <c r="F47" s="291" t="s">
        <v>325</v>
      </c>
      <c r="G47" s="325">
        <v>861.55</v>
      </c>
      <c r="H47" s="325">
        <v>0</v>
      </c>
      <c r="I47" s="325">
        <v>861.55</v>
      </c>
      <c r="J47" s="326">
        <v>41568</v>
      </c>
      <c r="K47" s="327">
        <v>41563</v>
      </c>
      <c r="L47" s="328">
        <v>29</v>
      </c>
      <c r="M47" s="329" t="s">
        <v>327</v>
      </c>
      <c r="N47" s="333">
        <v>41179915</v>
      </c>
      <c r="O47" s="328">
        <v>2200</v>
      </c>
      <c r="P47" s="328">
        <v>0</v>
      </c>
      <c r="Q47" s="97"/>
      <c r="R47" s="325">
        <v>71.459999999999994</v>
      </c>
      <c r="S47" s="97"/>
      <c r="T47" s="97"/>
      <c r="U47" s="331" t="s">
        <v>325</v>
      </c>
      <c r="V47" s="324" t="s">
        <v>325</v>
      </c>
      <c r="W47" s="97"/>
      <c r="X47" s="325">
        <v>0</v>
      </c>
      <c r="Y47" s="31"/>
    </row>
    <row r="48" spans="1:25" ht="16.25" customHeight="1">
      <c r="A48" s="334">
        <v>2703112003</v>
      </c>
      <c r="B48" s="323" t="s">
        <v>323</v>
      </c>
      <c r="C48" s="276" t="s">
        <v>141</v>
      </c>
      <c r="D48" s="324" t="s">
        <v>325</v>
      </c>
      <c r="E48" s="290" t="s">
        <v>332</v>
      </c>
      <c r="F48" s="291" t="s">
        <v>325</v>
      </c>
      <c r="G48" s="325">
        <v>832.58</v>
      </c>
      <c r="H48" s="325">
        <v>0</v>
      </c>
      <c r="I48" s="325">
        <v>832.58</v>
      </c>
      <c r="J48" s="326">
        <v>41558</v>
      </c>
      <c r="K48" s="327">
        <v>41555</v>
      </c>
      <c r="L48" s="328">
        <v>28</v>
      </c>
      <c r="M48" s="329" t="s">
        <v>327</v>
      </c>
      <c r="N48" s="333">
        <v>38559327</v>
      </c>
      <c r="O48" s="328">
        <v>2477</v>
      </c>
      <c r="P48" s="328">
        <v>72.5</v>
      </c>
      <c r="Q48" s="328">
        <v>5.084154351395731E-2</v>
      </c>
      <c r="R48" s="325">
        <v>832.58</v>
      </c>
      <c r="S48" s="97"/>
      <c r="T48" s="97"/>
      <c r="U48" s="331" t="s">
        <v>325</v>
      </c>
      <c r="V48" s="324" t="s">
        <v>325</v>
      </c>
      <c r="W48" s="97"/>
      <c r="X48" s="325">
        <v>0</v>
      </c>
      <c r="Y48" s="31"/>
    </row>
    <row r="49" spans="1:25" ht="16.25" customHeight="1">
      <c r="A49" s="334">
        <v>2773821106</v>
      </c>
      <c r="B49" s="323" t="s">
        <v>323</v>
      </c>
      <c r="C49" s="276" t="s">
        <v>209</v>
      </c>
      <c r="D49" s="324" t="s">
        <v>325</v>
      </c>
      <c r="E49" s="290" t="s">
        <v>255</v>
      </c>
      <c r="F49" s="291" t="s">
        <v>325</v>
      </c>
      <c r="G49" s="325">
        <v>41.24</v>
      </c>
      <c r="H49" s="325">
        <v>0</v>
      </c>
      <c r="I49" s="325">
        <v>41.24</v>
      </c>
      <c r="J49" s="326">
        <v>41568</v>
      </c>
      <c r="K49" s="327">
        <v>41565</v>
      </c>
      <c r="L49" s="328">
        <v>31</v>
      </c>
      <c r="M49" s="329" t="s">
        <v>327</v>
      </c>
      <c r="N49" s="333">
        <v>28893388</v>
      </c>
      <c r="O49" s="328">
        <v>0</v>
      </c>
      <c r="P49" s="97"/>
      <c r="Q49" s="97"/>
      <c r="R49" s="325">
        <v>20.62</v>
      </c>
      <c r="S49" s="97"/>
      <c r="T49" s="97"/>
      <c r="U49" s="331" t="s">
        <v>325</v>
      </c>
      <c r="V49" s="324" t="s">
        <v>325</v>
      </c>
      <c r="W49" s="97"/>
      <c r="X49" s="325">
        <v>0</v>
      </c>
      <c r="Y49" s="31"/>
    </row>
    <row r="50" spans="1:25" ht="16.25" customHeight="1">
      <c r="A50" s="334">
        <v>2856106004</v>
      </c>
      <c r="B50" s="323" t="s">
        <v>323</v>
      </c>
      <c r="C50" s="276" t="s">
        <v>211</v>
      </c>
      <c r="D50" s="324" t="s">
        <v>325</v>
      </c>
      <c r="E50" s="291" t="s">
        <v>325</v>
      </c>
      <c r="F50" s="290" t="s">
        <v>335</v>
      </c>
      <c r="G50" s="325">
        <v>24.66</v>
      </c>
      <c r="H50" s="325">
        <v>0</v>
      </c>
      <c r="I50" s="325">
        <v>24.66</v>
      </c>
      <c r="J50" s="326">
        <v>41558</v>
      </c>
      <c r="K50" s="301"/>
      <c r="L50" s="97"/>
      <c r="M50" s="331" t="s">
        <v>325</v>
      </c>
      <c r="N50" s="332" t="s">
        <v>325</v>
      </c>
      <c r="O50" s="97"/>
      <c r="P50" s="97"/>
      <c r="Q50" s="97"/>
      <c r="R50" s="325">
        <v>0</v>
      </c>
      <c r="S50" s="326">
        <v>41555</v>
      </c>
      <c r="T50" s="328">
        <v>28</v>
      </c>
      <c r="U50" s="329" t="s">
        <v>327</v>
      </c>
      <c r="V50" s="276" t="s">
        <v>212</v>
      </c>
      <c r="W50" s="328">
        <v>5</v>
      </c>
      <c r="X50" s="325">
        <v>24.66</v>
      </c>
      <c r="Y50" s="31"/>
    </row>
    <row r="51" spans="1:25" ht="16.25" customHeight="1">
      <c r="A51" s="334">
        <v>2860127100</v>
      </c>
      <c r="B51" s="323" t="s">
        <v>323</v>
      </c>
      <c r="C51" s="276" t="s">
        <v>213</v>
      </c>
      <c r="D51" s="324" t="s">
        <v>325</v>
      </c>
      <c r="E51" s="290" t="s">
        <v>201</v>
      </c>
      <c r="F51" s="291" t="s">
        <v>325</v>
      </c>
      <c r="G51" s="325">
        <v>110.22</v>
      </c>
      <c r="H51" s="325">
        <v>55.04</v>
      </c>
      <c r="I51" s="325">
        <v>55.18</v>
      </c>
      <c r="J51" s="326">
        <v>41548</v>
      </c>
      <c r="K51" s="327">
        <v>41548</v>
      </c>
      <c r="L51" s="328">
        <v>28</v>
      </c>
      <c r="M51" s="329" t="s">
        <v>327</v>
      </c>
      <c r="N51" s="332" t="s">
        <v>325</v>
      </c>
      <c r="O51" s="328">
        <v>312</v>
      </c>
      <c r="P51" s="97"/>
      <c r="Q51" s="97"/>
      <c r="R51" s="325">
        <v>55.18</v>
      </c>
      <c r="S51" s="97"/>
      <c r="T51" s="97"/>
      <c r="U51" s="331" t="s">
        <v>325</v>
      </c>
      <c r="V51" s="324" t="s">
        <v>325</v>
      </c>
      <c r="W51" s="97"/>
      <c r="X51" s="325">
        <v>0</v>
      </c>
      <c r="Y51" s="31"/>
    </row>
    <row r="52" spans="1:25" ht="16.25" customHeight="1">
      <c r="A52" s="334">
        <v>3040127109</v>
      </c>
      <c r="B52" s="323" t="s">
        <v>323</v>
      </c>
      <c r="C52" s="276" t="s">
        <v>214</v>
      </c>
      <c r="D52" s="324" t="s">
        <v>325</v>
      </c>
      <c r="E52" s="290" t="s">
        <v>201</v>
      </c>
      <c r="F52" s="291" t="s">
        <v>325</v>
      </c>
      <c r="G52" s="325">
        <v>113.64</v>
      </c>
      <c r="H52" s="325">
        <v>56.74</v>
      </c>
      <c r="I52" s="325">
        <v>56.9</v>
      </c>
      <c r="J52" s="326">
        <v>41548</v>
      </c>
      <c r="K52" s="327">
        <v>41548</v>
      </c>
      <c r="L52" s="328">
        <v>28</v>
      </c>
      <c r="M52" s="329" t="s">
        <v>327</v>
      </c>
      <c r="N52" s="332" t="s">
        <v>325</v>
      </c>
      <c r="O52" s="328">
        <v>326</v>
      </c>
      <c r="P52" s="97"/>
      <c r="Q52" s="97"/>
      <c r="R52" s="325">
        <v>56.9</v>
      </c>
      <c r="S52" s="97"/>
      <c r="T52" s="97"/>
      <c r="U52" s="331" t="s">
        <v>325</v>
      </c>
      <c r="V52" s="324" t="s">
        <v>325</v>
      </c>
      <c r="W52" s="97"/>
      <c r="X52" s="325">
        <v>0</v>
      </c>
      <c r="Y52" s="31"/>
    </row>
    <row r="53" spans="1:25" ht="16.25" customHeight="1">
      <c r="A53" s="334">
        <v>3128810107</v>
      </c>
      <c r="B53" s="323" t="s">
        <v>323</v>
      </c>
      <c r="C53" s="276" t="s">
        <v>215</v>
      </c>
      <c r="D53" s="324" t="s">
        <v>325</v>
      </c>
      <c r="E53" s="290" t="s">
        <v>326</v>
      </c>
      <c r="F53" s="291" t="s">
        <v>325</v>
      </c>
      <c r="G53" s="325">
        <v>20.92</v>
      </c>
      <c r="H53" s="325">
        <v>0</v>
      </c>
      <c r="I53" s="325">
        <v>20.92</v>
      </c>
      <c r="J53" s="326">
        <v>41558</v>
      </c>
      <c r="K53" s="327">
        <v>41555</v>
      </c>
      <c r="L53" s="328">
        <v>28</v>
      </c>
      <c r="M53" s="329" t="s">
        <v>327</v>
      </c>
      <c r="N53" s="333">
        <v>29230844</v>
      </c>
      <c r="O53" s="328">
        <v>5</v>
      </c>
      <c r="P53" s="97"/>
      <c r="Q53" s="97"/>
      <c r="R53" s="325">
        <v>20.92</v>
      </c>
      <c r="S53" s="97"/>
      <c r="T53" s="97"/>
      <c r="U53" s="331" t="s">
        <v>325</v>
      </c>
      <c r="V53" s="324" t="s">
        <v>325</v>
      </c>
      <c r="W53" s="97"/>
      <c r="X53" s="325">
        <v>0</v>
      </c>
      <c r="Y53" s="31"/>
    </row>
    <row r="54" spans="1:25" ht="16.25" customHeight="1">
      <c r="A54" s="334">
        <v>3195056004</v>
      </c>
      <c r="B54" s="323" t="s">
        <v>323</v>
      </c>
      <c r="C54" s="276" t="s">
        <v>217</v>
      </c>
      <c r="D54" s="324" t="s">
        <v>325</v>
      </c>
      <c r="E54" s="290" t="s">
        <v>326</v>
      </c>
      <c r="F54" s="291" t="s">
        <v>325</v>
      </c>
      <c r="G54" s="325">
        <v>21.35</v>
      </c>
      <c r="H54" s="325">
        <v>0</v>
      </c>
      <c r="I54" s="325">
        <v>21.35</v>
      </c>
      <c r="J54" s="326">
        <v>41568</v>
      </c>
      <c r="K54" s="327">
        <v>41563</v>
      </c>
      <c r="L54" s="328">
        <v>29</v>
      </c>
      <c r="M54" s="329" t="s">
        <v>327</v>
      </c>
      <c r="N54" s="333">
        <v>31607979</v>
      </c>
      <c r="O54" s="328">
        <v>12</v>
      </c>
      <c r="P54" s="97"/>
      <c r="Q54" s="97"/>
      <c r="R54" s="325">
        <v>21.35</v>
      </c>
      <c r="S54" s="97"/>
      <c r="T54" s="97"/>
      <c r="U54" s="331" t="s">
        <v>325</v>
      </c>
      <c r="V54" s="324" t="s">
        <v>325</v>
      </c>
      <c r="W54" s="97"/>
      <c r="X54" s="325">
        <v>0</v>
      </c>
      <c r="Y54" s="31"/>
    </row>
    <row r="55" spans="1:25" ht="16.25" customHeight="1">
      <c r="A55" s="334">
        <v>3273812135</v>
      </c>
      <c r="B55" s="323" t="s">
        <v>323</v>
      </c>
      <c r="C55" s="276" t="s">
        <v>142</v>
      </c>
      <c r="D55" s="324" t="s">
        <v>325</v>
      </c>
      <c r="E55" s="290" t="s">
        <v>326</v>
      </c>
      <c r="F55" s="290" t="s">
        <v>277</v>
      </c>
      <c r="G55" s="325">
        <v>95.88</v>
      </c>
      <c r="H55" s="325">
        <v>0</v>
      </c>
      <c r="I55" s="325">
        <v>95.88</v>
      </c>
      <c r="J55" s="326">
        <v>41568</v>
      </c>
      <c r="K55" s="327">
        <v>41563</v>
      </c>
      <c r="L55" s="328">
        <v>29</v>
      </c>
      <c r="M55" s="329" t="s">
        <v>327</v>
      </c>
      <c r="N55" s="333">
        <v>57726017</v>
      </c>
      <c r="O55" s="328">
        <v>828</v>
      </c>
      <c r="P55" s="97"/>
      <c r="Q55" s="97"/>
      <c r="R55" s="325">
        <v>70.760000000000005</v>
      </c>
      <c r="S55" s="326">
        <v>41563</v>
      </c>
      <c r="T55" s="328">
        <v>29</v>
      </c>
      <c r="U55" s="329" t="s">
        <v>327</v>
      </c>
      <c r="V55" s="276" t="s">
        <v>221</v>
      </c>
      <c r="W55" s="328">
        <v>2</v>
      </c>
      <c r="X55" s="325">
        <v>25.12</v>
      </c>
      <c r="Y55" s="31"/>
    </row>
    <row r="56" spans="1:25" ht="16.25" customHeight="1">
      <c r="A56" s="334">
        <v>3293820115</v>
      </c>
      <c r="B56" s="323" t="s">
        <v>323</v>
      </c>
      <c r="C56" s="276" t="s">
        <v>222</v>
      </c>
      <c r="D56" s="324" t="s">
        <v>325</v>
      </c>
      <c r="E56" s="291" t="s">
        <v>325</v>
      </c>
      <c r="F56" s="290" t="s">
        <v>335</v>
      </c>
      <c r="G56" s="325">
        <v>23.88</v>
      </c>
      <c r="H56" s="325">
        <v>0</v>
      </c>
      <c r="I56" s="325">
        <v>23.88</v>
      </c>
      <c r="J56" s="326">
        <v>41568</v>
      </c>
      <c r="K56" s="301"/>
      <c r="L56" s="97"/>
      <c r="M56" s="331" t="s">
        <v>325</v>
      </c>
      <c r="N56" s="332" t="s">
        <v>325</v>
      </c>
      <c r="O56" s="97"/>
      <c r="P56" s="97"/>
      <c r="Q56" s="97"/>
      <c r="R56" s="325">
        <v>0</v>
      </c>
      <c r="S56" s="326">
        <v>41563</v>
      </c>
      <c r="T56" s="328">
        <v>29</v>
      </c>
      <c r="U56" s="329" t="s">
        <v>327</v>
      </c>
      <c r="V56" s="276" t="s">
        <v>223</v>
      </c>
      <c r="W56" s="328">
        <v>2</v>
      </c>
      <c r="X56" s="325">
        <v>23.88</v>
      </c>
      <c r="Y56" s="31"/>
    </row>
    <row r="57" spans="1:25" ht="16.25" customHeight="1">
      <c r="A57" s="334">
        <v>3448808118</v>
      </c>
      <c r="B57" s="323" t="s">
        <v>323</v>
      </c>
      <c r="C57" s="276" t="s">
        <v>224</v>
      </c>
      <c r="D57" s="324" t="s">
        <v>325</v>
      </c>
      <c r="E57" s="290" t="s">
        <v>326</v>
      </c>
      <c r="F57" s="291" t="s">
        <v>325</v>
      </c>
      <c r="G57" s="325">
        <v>56.48</v>
      </c>
      <c r="H57" s="325">
        <v>0</v>
      </c>
      <c r="I57" s="325">
        <v>56.48</v>
      </c>
      <c r="J57" s="326">
        <v>41558</v>
      </c>
      <c r="K57" s="327">
        <v>41555</v>
      </c>
      <c r="L57" s="328">
        <v>28</v>
      </c>
      <c r="M57" s="329" t="s">
        <v>327</v>
      </c>
      <c r="N57" s="333">
        <v>57728174</v>
      </c>
      <c r="O57" s="328">
        <v>594</v>
      </c>
      <c r="P57" s="97"/>
      <c r="Q57" s="97"/>
      <c r="R57" s="325">
        <v>56.48</v>
      </c>
      <c r="S57" s="97"/>
      <c r="T57" s="97"/>
      <c r="U57" s="331" t="s">
        <v>325</v>
      </c>
      <c r="V57" s="324" t="s">
        <v>325</v>
      </c>
      <c r="W57" s="97"/>
      <c r="X57" s="325">
        <v>0</v>
      </c>
      <c r="Y57" s="31"/>
    </row>
    <row r="58" spans="1:25" ht="16.25" customHeight="1">
      <c r="A58" s="334">
        <v>3632395006</v>
      </c>
      <c r="B58" s="323" t="s">
        <v>323</v>
      </c>
      <c r="C58" s="276" t="s">
        <v>226</v>
      </c>
      <c r="D58" s="324" t="s">
        <v>325</v>
      </c>
      <c r="E58" s="290" t="s">
        <v>326</v>
      </c>
      <c r="F58" s="291" t="s">
        <v>325</v>
      </c>
      <c r="G58" s="325">
        <v>21.09</v>
      </c>
      <c r="H58" s="325">
        <v>0</v>
      </c>
      <c r="I58" s="325">
        <v>21.09</v>
      </c>
      <c r="J58" s="326">
        <v>41558</v>
      </c>
      <c r="K58" s="327">
        <v>41555</v>
      </c>
      <c r="L58" s="328">
        <v>28</v>
      </c>
      <c r="M58" s="329" t="s">
        <v>327</v>
      </c>
      <c r="N58" s="333">
        <v>32770577</v>
      </c>
      <c r="O58" s="328">
        <v>8</v>
      </c>
      <c r="P58" s="97"/>
      <c r="Q58" s="97"/>
      <c r="R58" s="325">
        <v>21.09</v>
      </c>
      <c r="S58" s="97"/>
      <c r="T58" s="97"/>
      <c r="U58" s="331" t="s">
        <v>325</v>
      </c>
      <c r="V58" s="324" t="s">
        <v>325</v>
      </c>
      <c r="W58" s="97"/>
      <c r="X58" s="325">
        <v>0</v>
      </c>
      <c r="Y58" s="31"/>
    </row>
    <row r="59" spans="1:25" ht="16.25" customHeight="1">
      <c r="A59" s="334">
        <v>3753663109</v>
      </c>
      <c r="B59" s="323" t="s">
        <v>323</v>
      </c>
      <c r="C59" s="276" t="s">
        <v>143</v>
      </c>
      <c r="D59" s="324" t="s">
        <v>325</v>
      </c>
      <c r="E59" s="290" t="s">
        <v>330</v>
      </c>
      <c r="F59" s="291" t="s">
        <v>325</v>
      </c>
      <c r="G59" s="325">
        <v>205.51</v>
      </c>
      <c r="H59" s="325">
        <v>0</v>
      </c>
      <c r="I59" s="325">
        <v>205.51</v>
      </c>
      <c r="J59" s="326">
        <v>41568</v>
      </c>
      <c r="K59" s="327">
        <v>41568</v>
      </c>
      <c r="L59" s="328">
        <v>31</v>
      </c>
      <c r="M59" s="329" t="s">
        <v>327</v>
      </c>
      <c r="N59" s="332" t="s">
        <v>325</v>
      </c>
      <c r="O59" s="328">
        <v>195</v>
      </c>
      <c r="P59" s="97"/>
      <c r="Q59" s="97"/>
      <c r="R59" s="325">
        <v>205.51</v>
      </c>
      <c r="S59" s="97"/>
      <c r="T59" s="97"/>
      <c r="U59" s="331" t="s">
        <v>325</v>
      </c>
      <c r="V59" s="324" t="s">
        <v>325</v>
      </c>
      <c r="W59" s="97"/>
      <c r="X59" s="325">
        <v>0</v>
      </c>
      <c r="Y59" s="31"/>
    </row>
    <row r="60" spans="1:25" ht="16.25" customHeight="1">
      <c r="A60" s="334">
        <v>3798043001</v>
      </c>
      <c r="B60" s="323" t="s">
        <v>323</v>
      </c>
      <c r="C60" s="276" t="s">
        <v>229</v>
      </c>
      <c r="D60" s="324" t="s">
        <v>325</v>
      </c>
      <c r="E60" s="290" t="s">
        <v>255</v>
      </c>
      <c r="F60" s="291" t="s">
        <v>325</v>
      </c>
      <c r="G60" s="325">
        <v>43.22</v>
      </c>
      <c r="H60" s="325">
        <v>21.62</v>
      </c>
      <c r="I60" s="325">
        <v>21.6</v>
      </c>
      <c r="J60" s="326">
        <v>41540</v>
      </c>
      <c r="K60" s="327">
        <v>41535</v>
      </c>
      <c r="L60" s="328">
        <v>29</v>
      </c>
      <c r="M60" s="329" t="s">
        <v>327</v>
      </c>
      <c r="N60" s="333">
        <v>27017109</v>
      </c>
      <c r="O60" s="328">
        <v>8</v>
      </c>
      <c r="P60" s="97"/>
      <c r="Q60" s="97"/>
      <c r="R60" s="325">
        <v>21.6</v>
      </c>
      <c r="S60" s="97"/>
      <c r="T60" s="97"/>
      <c r="U60" s="331" t="s">
        <v>325</v>
      </c>
      <c r="V60" s="324" t="s">
        <v>325</v>
      </c>
      <c r="W60" s="97"/>
      <c r="X60" s="325">
        <v>0</v>
      </c>
      <c r="Y60" s="31"/>
    </row>
    <row r="61" spans="1:25" ht="16.25" customHeight="1">
      <c r="A61" s="334">
        <v>3908811104</v>
      </c>
      <c r="B61" s="323" t="s">
        <v>323</v>
      </c>
      <c r="C61" s="276" t="s">
        <v>231</v>
      </c>
      <c r="D61" s="324" t="s">
        <v>325</v>
      </c>
      <c r="E61" s="290" t="s">
        <v>326</v>
      </c>
      <c r="F61" s="291" t="s">
        <v>325</v>
      </c>
      <c r="G61" s="325">
        <v>70.09</v>
      </c>
      <c r="H61" s="325">
        <v>0</v>
      </c>
      <c r="I61" s="325">
        <v>70.09</v>
      </c>
      <c r="J61" s="326">
        <v>41558</v>
      </c>
      <c r="K61" s="327">
        <v>41555</v>
      </c>
      <c r="L61" s="328">
        <v>27</v>
      </c>
      <c r="M61" s="329" t="s">
        <v>327</v>
      </c>
      <c r="N61" s="333">
        <v>32068958</v>
      </c>
      <c r="O61" s="328">
        <v>819</v>
      </c>
      <c r="P61" s="97"/>
      <c r="Q61" s="97"/>
      <c r="R61" s="325">
        <v>70.09</v>
      </c>
      <c r="S61" s="97"/>
      <c r="T61" s="97"/>
      <c r="U61" s="331" t="s">
        <v>325</v>
      </c>
      <c r="V61" s="324" t="s">
        <v>325</v>
      </c>
      <c r="W61" s="97"/>
      <c r="X61" s="325">
        <v>0</v>
      </c>
      <c r="Y61" s="31"/>
    </row>
    <row r="62" spans="1:25" ht="16.25" customHeight="1">
      <c r="A62" s="334">
        <v>4153807100</v>
      </c>
      <c r="B62" s="323" t="s">
        <v>323</v>
      </c>
      <c r="C62" s="276" t="s">
        <v>233</v>
      </c>
      <c r="D62" s="324" t="s">
        <v>325</v>
      </c>
      <c r="E62" s="290" t="s">
        <v>326</v>
      </c>
      <c r="F62" s="290" t="s">
        <v>277</v>
      </c>
      <c r="G62" s="325">
        <v>52.94</v>
      </c>
      <c r="H62" s="325">
        <v>0</v>
      </c>
      <c r="I62" s="325">
        <v>52.94</v>
      </c>
      <c r="J62" s="326">
        <v>41568</v>
      </c>
      <c r="K62" s="327">
        <v>41563</v>
      </c>
      <c r="L62" s="328">
        <v>29</v>
      </c>
      <c r="M62" s="329" t="s">
        <v>327</v>
      </c>
      <c r="N62" s="333">
        <v>33816546</v>
      </c>
      <c r="O62" s="328">
        <v>127</v>
      </c>
      <c r="P62" s="97"/>
      <c r="Q62" s="97"/>
      <c r="R62" s="325">
        <v>28.31</v>
      </c>
      <c r="S62" s="326">
        <v>41563</v>
      </c>
      <c r="T62" s="328">
        <v>29</v>
      </c>
      <c r="U62" s="329" t="s">
        <v>327</v>
      </c>
      <c r="V62" s="335">
        <v>5395004</v>
      </c>
      <c r="W62" s="328">
        <v>1</v>
      </c>
      <c r="X62" s="325">
        <v>24.63</v>
      </c>
      <c r="Y62" s="31"/>
    </row>
    <row r="63" spans="1:25" ht="16.25" customHeight="1">
      <c r="A63" s="334">
        <v>4153820112</v>
      </c>
      <c r="B63" s="323" t="s">
        <v>323</v>
      </c>
      <c r="C63" s="276" t="s">
        <v>147</v>
      </c>
      <c r="D63" s="324" t="s">
        <v>325</v>
      </c>
      <c r="E63" s="290" t="s">
        <v>332</v>
      </c>
      <c r="F63" s="291" t="s">
        <v>325</v>
      </c>
      <c r="G63" s="325">
        <v>704.88</v>
      </c>
      <c r="H63" s="325">
        <v>365.03</v>
      </c>
      <c r="I63" s="325">
        <v>339.25</v>
      </c>
      <c r="J63" s="326">
        <v>41542</v>
      </c>
      <c r="K63" s="327">
        <v>41534</v>
      </c>
      <c r="L63" s="328">
        <v>29</v>
      </c>
      <c r="M63" s="329" t="s">
        <v>327</v>
      </c>
      <c r="N63" s="333">
        <v>57728800</v>
      </c>
      <c r="O63" s="328">
        <v>9463</v>
      </c>
      <c r="P63" s="328">
        <v>21.3</v>
      </c>
      <c r="Q63" s="328">
        <v>0.63832227078948789</v>
      </c>
      <c r="R63" s="325">
        <v>339.25</v>
      </c>
      <c r="S63" s="97"/>
      <c r="T63" s="97"/>
      <c r="U63" s="331" t="s">
        <v>325</v>
      </c>
      <c r="V63" s="324" t="s">
        <v>325</v>
      </c>
      <c r="W63" s="97"/>
      <c r="X63" s="325">
        <v>0</v>
      </c>
      <c r="Y63" s="31"/>
    </row>
    <row r="64" spans="1:25" ht="16.25" customHeight="1">
      <c r="A64" s="334">
        <v>4308810115</v>
      </c>
      <c r="B64" s="323" t="s">
        <v>323</v>
      </c>
      <c r="C64" s="276" t="s">
        <v>149</v>
      </c>
      <c r="D64" s="324" t="s">
        <v>325</v>
      </c>
      <c r="E64" s="290" t="s">
        <v>326</v>
      </c>
      <c r="F64" s="291" t="s">
        <v>325</v>
      </c>
      <c r="G64" s="325">
        <v>70.819999999999993</v>
      </c>
      <c r="H64" s="325">
        <v>0</v>
      </c>
      <c r="I64" s="325">
        <v>70.819999999999993</v>
      </c>
      <c r="J64" s="326">
        <v>41558</v>
      </c>
      <c r="K64" s="327">
        <v>41555</v>
      </c>
      <c r="L64" s="328">
        <v>28</v>
      </c>
      <c r="M64" s="329" t="s">
        <v>327</v>
      </c>
      <c r="N64" s="333">
        <v>45868210</v>
      </c>
      <c r="O64" s="328">
        <v>831</v>
      </c>
      <c r="P64" s="97"/>
      <c r="Q64" s="97"/>
      <c r="R64" s="325">
        <v>70.819999999999993</v>
      </c>
      <c r="S64" s="97"/>
      <c r="T64" s="97"/>
      <c r="U64" s="331" t="s">
        <v>325</v>
      </c>
      <c r="V64" s="324" t="s">
        <v>325</v>
      </c>
      <c r="W64" s="97"/>
      <c r="X64" s="325">
        <v>0</v>
      </c>
      <c r="Y64" s="31"/>
    </row>
    <row r="65" spans="1:25" ht="16.25" customHeight="1">
      <c r="A65" s="334">
        <v>4399122004</v>
      </c>
      <c r="B65" s="323" t="s">
        <v>323</v>
      </c>
      <c r="C65" s="276" t="s">
        <v>151</v>
      </c>
      <c r="D65" s="324" t="s">
        <v>325</v>
      </c>
      <c r="E65" s="291" t="s">
        <v>325</v>
      </c>
      <c r="F65" s="290" t="s">
        <v>335</v>
      </c>
      <c r="G65" s="325">
        <v>25.46</v>
      </c>
      <c r="H65" s="325">
        <v>0</v>
      </c>
      <c r="I65" s="325">
        <v>25.46</v>
      </c>
      <c r="J65" s="326">
        <v>41568</v>
      </c>
      <c r="K65" s="301"/>
      <c r="L65" s="97"/>
      <c r="M65" s="331" t="s">
        <v>325</v>
      </c>
      <c r="N65" s="332" t="s">
        <v>325</v>
      </c>
      <c r="O65" s="97"/>
      <c r="P65" s="97"/>
      <c r="Q65" s="97"/>
      <c r="R65" s="325">
        <v>0</v>
      </c>
      <c r="S65" s="326">
        <v>41563</v>
      </c>
      <c r="T65" s="328">
        <v>29</v>
      </c>
      <c r="U65" s="329" t="s">
        <v>327</v>
      </c>
      <c r="V65" s="276" t="s">
        <v>152</v>
      </c>
      <c r="W65" s="328">
        <v>7</v>
      </c>
      <c r="X65" s="325">
        <v>25.46</v>
      </c>
      <c r="Y65" s="31"/>
    </row>
    <row r="66" spans="1:25" ht="16.25" customHeight="1">
      <c r="A66" s="334">
        <v>4513814101</v>
      </c>
      <c r="B66" s="323" t="s">
        <v>323</v>
      </c>
      <c r="C66" s="276" t="s">
        <v>153</v>
      </c>
      <c r="D66" s="324" t="s">
        <v>325</v>
      </c>
      <c r="E66" s="290" t="s">
        <v>332</v>
      </c>
      <c r="F66" s="290" t="s">
        <v>277</v>
      </c>
      <c r="G66" s="325">
        <v>181.89</v>
      </c>
      <c r="H66" s="325">
        <v>0</v>
      </c>
      <c r="I66" s="325">
        <v>181.89</v>
      </c>
      <c r="J66" s="326">
        <v>41568</v>
      </c>
      <c r="K66" s="327">
        <v>41563</v>
      </c>
      <c r="L66" s="328">
        <v>29</v>
      </c>
      <c r="M66" s="329" t="s">
        <v>327</v>
      </c>
      <c r="N66" s="333">
        <v>57596470</v>
      </c>
      <c r="O66" s="328">
        <v>1758</v>
      </c>
      <c r="P66" s="328">
        <v>6.8</v>
      </c>
      <c r="Q66" s="328">
        <v>0.37145030425963493</v>
      </c>
      <c r="R66" s="325">
        <v>138.77000000000001</v>
      </c>
      <c r="S66" s="326">
        <v>41563</v>
      </c>
      <c r="T66" s="328">
        <v>29</v>
      </c>
      <c r="U66" s="329" t="s">
        <v>327</v>
      </c>
      <c r="V66" s="276" t="s">
        <v>155</v>
      </c>
      <c r="W66" s="328">
        <v>25</v>
      </c>
      <c r="X66" s="325">
        <v>43.12</v>
      </c>
      <c r="Y66" s="31"/>
    </row>
    <row r="67" spans="1:25" ht="16.25" customHeight="1">
      <c r="A67" s="334">
        <v>4533881110</v>
      </c>
      <c r="B67" s="323" t="s">
        <v>323</v>
      </c>
      <c r="C67" s="276" t="s">
        <v>144</v>
      </c>
      <c r="D67" s="276" t="s">
        <v>157</v>
      </c>
      <c r="E67" s="290" t="s">
        <v>158</v>
      </c>
      <c r="F67" s="291" t="s">
        <v>325</v>
      </c>
      <c r="G67" s="325">
        <v>28.06</v>
      </c>
      <c r="H67" s="325">
        <v>0</v>
      </c>
      <c r="I67" s="325">
        <v>28.06</v>
      </c>
      <c r="J67" s="326">
        <v>41568</v>
      </c>
      <c r="K67" s="327">
        <v>41568</v>
      </c>
      <c r="L67" s="328">
        <v>31</v>
      </c>
      <c r="M67" s="329" t="s">
        <v>327</v>
      </c>
      <c r="N67" s="332" t="s">
        <v>325</v>
      </c>
      <c r="O67" s="328">
        <v>169</v>
      </c>
      <c r="P67" s="97"/>
      <c r="Q67" s="97"/>
      <c r="R67" s="325">
        <v>28.06</v>
      </c>
      <c r="S67" s="97"/>
      <c r="T67" s="97"/>
      <c r="U67" s="331" t="s">
        <v>325</v>
      </c>
      <c r="V67" s="324" t="s">
        <v>325</v>
      </c>
      <c r="W67" s="97"/>
      <c r="X67" s="325">
        <v>0</v>
      </c>
      <c r="Y67" s="31"/>
    </row>
    <row r="68" spans="1:25" ht="16.25" customHeight="1">
      <c r="A68" s="334">
        <v>4568811105</v>
      </c>
      <c r="B68" s="323" t="s">
        <v>323</v>
      </c>
      <c r="C68" s="276" t="s">
        <v>159</v>
      </c>
      <c r="D68" s="324" t="s">
        <v>325</v>
      </c>
      <c r="E68" s="290" t="s">
        <v>326</v>
      </c>
      <c r="F68" s="291" t="s">
        <v>325</v>
      </c>
      <c r="G68" s="325">
        <v>68.7</v>
      </c>
      <c r="H68" s="325">
        <v>0</v>
      </c>
      <c r="I68" s="325">
        <v>68.7</v>
      </c>
      <c r="J68" s="326">
        <v>41558</v>
      </c>
      <c r="K68" s="327">
        <v>41555</v>
      </c>
      <c r="L68" s="328">
        <v>27</v>
      </c>
      <c r="M68" s="329" t="s">
        <v>327</v>
      </c>
      <c r="N68" s="333">
        <v>32068957</v>
      </c>
      <c r="O68" s="328">
        <v>796</v>
      </c>
      <c r="P68" s="97"/>
      <c r="Q68" s="97"/>
      <c r="R68" s="325">
        <v>68.7</v>
      </c>
      <c r="S68" s="97"/>
      <c r="T68" s="97"/>
      <c r="U68" s="331" t="s">
        <v>325</v>
      </c>
      <c r="V68" s="324" t="s">
        <v>325</v>
      </c>
      <c r="W68" s="97"/>
      <c r="X68" s="325">
        <v>0</v>
      </c>
      <c r="Y68" s="31"/>
    </row>
    <row r="69" spans="1:25" ht="16.25" customHeight="1">
      <c r="A69" s="334">
        <v>4588811101</v>
      </c>
      <c r="B69" s="323" t="s">
        <v>323</v>
      </c>
      <c r="C69" s="276" t="s">
        <v>159</v>
      </c>
      <c r="D69" s="324" t="s">
        <v>325</v>
      </c>
      <c r="E69" s="290" t="s">
        <v>326</v>
      </c>
      <c r="F69" s="291" t="s">
        <v>325</v>
      </c>
      <c r="G69" s="325">
        <v>3.76</v>
      </c>
      <c r="H69" s="325">
        <v>0</v>
      </c>
      <c r="I69" s="325">
        <v>3.76</v>
      </c>
      <c r="J69" s="326">
        <v>41561</v>
      </c>
      <c r="K69" s="327">
        <v>41555</v>
      </c>
      <c r="L69" s="328">
        <v>120</v>
      </c>
      <c r="M69" s="329" t="s">
        <v>145</v>
      </c>
      <c r="N69" s="333">
        <v>57548537</v>
      </c>
      <c r="O69" s="328">
        <v>2080</v>
      </c>
      <c r="P69" s="97"/>
      <c r="Q69" s="97"/>
      <c r="R69" s="325">
        <v>202.6</v>
      </c>
      <c r="S69" s="97"/>
      <c r="T69" s="97"/>
      <c r="U69" s="331" t="s">
        <v>325</v>
      </c>
      <c r="V69" s="324" t="s">
        <v>325</v>
      </c>
      <c r="W69" s="97"/>
      <c r="X69" s="325">
        <v>0</v>
      </c>
      <c r="Y69" s="31"/>
    </row>
    <row r="70" spans="1:25" ht="16.25" customHeight="1">
      <c r="A70" s="334">
        <v>4794009102</v>
      </c>
      <c r="B70" s="323" t="s">
        <v>323</v>
      </c>
      <c r="C70" s="276" t="s">
        <v>162</v>
      </c>
      <c r="D70" s="324" t="s">
        <v>325</v>
      </c>
      <c r="E70" s="290" t="s">
        <v>255</v>
      </c>
      <c r="F70" s="290" t="s">
        <v>163</v>
      </c>
      <c r="G70" s="325">
        <v>249.41</v>
      </c>
      <c r="H70" s="325">
        <v>127.58</v>
      </c>
      <c r="I70" s="325">
        <v>121.83</v>
      </c>
      <c r="J70" s="326">
        <v>41540</v>
      </c>
      <c r="K70" s="327">
        <v>41535</v>
      </c>
      <c r="L70" s="328">
        <v>29</v>
      </c>
      <c r="M70" s="329" t="s">
        <v>327</v>
      </c>
      <c r="N70" s="333">
        <v>5519506</v>
      </c>
      <c r="O70" s="328">
        <v>599</v>
      </c>
      <c r="P70" s="97"/>
      <c r="Q70" s="97"/>
      <c r="R70" s="325">
        <v>94.05</v>
      </c>
      <c r="S70" s="326">
        <v>41535</v>
      </c>
      <c r="T70" s="328">
        <v>29</v>
      </c>
      <c r="U70" s="329" t="s">
        <v>327</v>
      </c>
      <c r="V70" s="276" t="s">
        <v>165</v>
      </c>
      <c r="W70" s="328">
        <v>6</v>
      </c>
      <c r="X70" s="325">
        <v>27.78</v>
      </c>
      <c r="Y70" s="31"/>
    </row>
    <row r="71" spans="1:25" ht="16.25" customHeight="1">
      <c r="A71" s="334">
        <v>5048811100</v>
      </c>
      <c r="B71" s="323" t="s">
        <v>323</v>
      </c>
      <c r="C71" s="276" t="s">
        <v>166</v>
      </c>
      <c r="D71" s="324" t="s">
        <v>325</v>
      </c>
      <c r="E71" s="290" t="s">
        <v>326</v>
      </c>
      <c r="F71" s="291" t="s">
        <v>325</v>
      </c>
      <c r="G71" s="325">
        <v>33.43</v>
      </c>
      <c r="H71" s="325">
        <v>0</v>
      </c>
      <c r="I71" s="325">
        <v>33.43</v>
      </c>
      <c r="J71" s="326">
        <v>41558</v>
      </c>
      <c r="K71" s="327">
        <v>41557</v>
      </c>
      <c r="L71" s="328">
        <v>30</v>
      </c>
      <c r="M71" s="329" t="s">
        <v>327</v>
      </c>
      <c r="N71" s="333">
        <v>32465099</v>
      </c>
      <c r="O71" s="328">
        <v>212</v>
      </c>
      <c r="P71" s="97"/>
      <c r="Q71" s="97"/>
      <c r="R71" s="325">
        <v>33.43</v>
      </c>
      <c r="S71" s="97"/>
      <c r="T71" s="97"/>
      <c r="U71" s="331" t="s">
        <v>325</v>
      </c>
      <c r="V71" s="324" t="s">
        <v>325</v>
      </c>
      <c r="W71" s="97"/>
      <c r="X71" s="325">
        <v>0</v>
      </c>
      <c r="Y71" s="31"/>
    </row>
    <row r="72" spans="1:25" ht="16.25" customHeight="1">
      <c r="A72" s="334">
        <v>5293880104</v>
      </c>
      <c r="B72" s="323" t="s">
        <v>323</v>
      </c>
      <c r="C72" s="276" t="s">
        <v>168</v>
      </c>
      <c r="D72" s="324" t="s">
        <v>325</v>
      </c>
      <c r="E72" s="290" t="s">
        <v>330</v>
      </c>
      <c r="F72" s="291" t="s">
        <v>325</v>
      </c>
      <c r="G72" s="325">
        <v>10403.379999999999</v>
      </c>
      <c r="H72" s="325">
        <v>0</v>
      </c>
      <c r="I72" s="325">
        <v>10403.379999999999</v>
      </c>
      <c r="J72" s="326">
        <v>41568</v>
      </c>
      <c r="K72" s="327">
        <v>41568</v>
      </c>
      <c r="L72" s="328">
        <v>31</v>
      </c>
      <c r="M72" s="329" t="s">
        <v>327</v>
      </c>
      <c r="N72" s="332" t="s">
        <v>325</v>
      </c>
      <c r="O72" s="328">
        <v>35610</v>
      </c>
      <c r="P72" s="97"/>
      <c r="Q72" s="97"/>
      <c r="R72" s="325">
        <v>10404.879999999999</v>
      </c>
      <c r="S72" s="97"/>
      <c r="T72" s="97"/>
      <c r="U72" s="331" t="s">
        <v>325</v>
      </c>
      <c r="V72" s="324" t="s">
        <v>325</v>
      </c>
      <c r="W72" s="97"/>
      <c r="X72" s="325">
        <v>0</v>
      </c>
      <c r="Y72" s="31"/>
    </row>
    <row r="73" spans="1:25" ht="16.25" customHeight="1">
      <c r="A73" s="334">
        <v>5333812119</v>
      </c>
      <c r="B73" s="323" t="s">
        <v>323</v>
      </c>
      <c r="C73" s="276" t="s">
        <v>169</v>
      </c>
      <c r="D73" s="324" t="s">
        <v>325</v>
      </c>
      <c r="E73" s="290" t="s">
        <v>326</v>
      </c>
      <c r="F73" s="291" t="s">
        <v>325</v>
      </c>
      <c r="G73" s="325">
        <v>41.15</v>
      </c>
      <c r="H73" s="325">
        <v>0</v>
      </c>
      <c r="I73" s="325">
        <v>41.15</v>
      </c>
      <c r="J73" s="326">
        <v>41568</v>
      </c>
      <c r="K73" s="327">
        <v>41563</v>
      </c>
      <c r="L73" s="328">
        <v>29</v>
      </c>
      <c r="M73" s="329" t="s">
        <v>327</v>
      </c>
      <c r="N73" s="333">
        <v>27199642</v>
      </c>
      <c r="O73" s="328">
        <v>339</v>
      </c>
      <c r="P73" s="97"/>
      <c r="Q73" s="97"/>
      <c r="R73" s="325">
        <v>41.15</v>
      </c>
      <c r="S73" s="97"/>
      <c r="T73" s="97"/>
      <c r="U73" s="331" t="s">
        <v>325</v>
      </c>
      <c r="V73" s="324" t="s">
        <v>325</v>
      </c>
      <c r="W73" s="97"/>
      <c r="X73" s="325">
        <v>0</v>
      </c>
      <c r="Y73" s="31"/>
    </row>
    <row r="74" spans="1:25" ht="16.25" customHeight="1">
      <c r="A74" s="334">
        <v>5513812108</v>
      </c>
      <c r="B74" s="323" t="s">
        <v>323</v>
      </c>
      <c r="C74" s="276" t="s">
        <v>337</v>
      </c>
      <c r="D74" s="324" t="s">
        <v>325</v>
      </c>
      <c r="E74" s="290" t="s">
        <v>332</v>
      </c>
      <c r="F74" s="291" t="s">
        <v>325</v>
      </c>
      <c r="G74" s="325">
        <v>191.32</v>
      </c>
      <c r="H74" s="325">
        <v>0</v>
      </c>
      <c r="I74" s="325">
        <v>191.32</v>
      </c>
      <c r="J74" s="326">
        <v>41568</v>
      </c>
      <c r="K74" s="327">
        <v>41563</v>
      </c>
      <c r="L74" s="328">
        <v>29</v>
      </c>
      <c r="M74" s="329" t="s">
        <v>327</v>
      </c>
      <c r="N74" s="333">
        <v>55482056</v>
      </c>
      <c r="O74" s="328">
        <v>828</v>
      </c>
      <c r="P74" s="328">
        <v>12.6</v>
      </c>
      <c r="Q74" s="328">
        <v>9.4417077175697861E-2</v>
      </c>
      <c r="R74" s="325">
        <v>191.32</v>
      </c>
      <c r="S74" s="97"/>
      <c r="T74" s="97"/>
      <c r="U74" s="331" t="s">
        <v>325</v>
      </c>
      <c r="V74" s="324" t="s">
        <v>325</v>
      </c>
      <c r="W74" s="97"/>
      <c r="X74" s="325">
        <v>0</v>
      </c>
      <c r="Y74" s="31"/>
    </row>
    <row r="75" spans="1:25" ht="16.25" customHeight="1">
      <c r="A75" s="334">
        <v>5613808124</v>
      </c>
      <c r="B75" s="323" t="s">
        <v>323</v>
      </c>
      <c r="C75" s="276" t="s">
        <v>172</v>
      </c>
      <c r="D75" s="324" t="s">
        <v>325</v>
      </c>
      <c r="E75" s="290" t="s">
        <v>255</v>
      </c>
      <c r="F75" s="291" t="s">
        <v>325</v>
      </c>
      <c r="G75" s="325">
        <v>76.62</v>
      </c>
      <c r="H75" s="325">
        <v>0</v>
      </c>
      <c r="I75" s="325">
        <v>76.62</v>
      </c>
      <c r="J75" s="326">
        <v>41568</v>
      </c>
      <c r="K75" s="327">
        <v>41565</v>
      </c>
      <c r="L75" s="328">
        <v>31</v>
      </c>
      <c r="M75" s="329" t="s">
        <v>327</v>
      </c>
      <c r="N75" s="333">
        <v>57728176</v>
      </c>
      <c r="O75" s="328">
        <v>404</v>
      </c>
      <c r="P75" s="97"/>
      <c r="Q75" s="97"/>
      <c r="R75" s="325">
        <v>76.62</v>
      </c>
      <c r="S75" s="97"/>
      <c r="T75" s="97"/>
      <c r="U75" s="331" t="s">
        <v>325</v>
      </c>
      <c r="V75" s="324" t="s">
        <v>325</v>
      </c>
      <c r="W75" s="97"/>
      <c r="X75" s="325">
        <v>0</v>
      </c>
      <c r="Y75" s="31"/>
    </row>
    <row r="76" spans="1:25" ht="16.25" customHeight="1">
      <c r="A76" s="334">
        <v>5668811108</v>
      </c>
      <c r="B76" s="323" t="s">
        <v>323</v>
      </c>
      <c r="C76" s="276" t="s">
        <v>159</v>
      </c>
      <c r="D76" s="324" t="s">
        <v>325</v>
      </c>
      <c r="E76" s="290" t="s">
        <v>255</v>
      </c>
      <c r="F76" s="291" t="s">
        <v>325</v>
      </c>
      <c r="G76" s="325">
        <v>34.57</v>
      </c>
      <c r="H76" s="325">
        <v>0</v>
      </c>
      <c r="I76" s="325">
        <v>34.57</v>
      </c>
      <c r="J76" s="326">
        <v>41558</v>
      </c>
      <c r="K76" s="327">
        <v>41555</v>
      </c>
      <c r="L76" s="328">
        <v>27</v>
      </c>
      <c r="M76" s="329" t="s">
        <v>327</v>
      </c>
      <c r="N76" s="333">
        <v>32068963</v>
      </c>
      <c r="O76" s="328">
        <v>101</v>
      </c>
      <c r="P76" s="97"/>
      <c r="Q76" s="97"/>
      <c r="R76" s="325">
        <v>34.57</v>
      </c>
      <c r="S76" s="97"/>
      <c r="T76" s="97"/>
      <c r="U76" s="331" t="s">
        <v>325</v>
      </c>
      <c r="V76" s="324" t="s">
        <v>325</v>
      </c>
      <c r="W76" s="97"/>
      <c r="X76" s="325">
        <v>0</v>
      </c>
      <c r="Y76" s="31"/>
    </row>
    <row r="77" spans="1:25" ht="16.25" customHeight="1">
      <c r="A77" s="334">
        <v>5748811104</v>
      </c>
      <c r="B77" s="323" t="s">
        <v>323</v>
      </c>
      <c r="C77" s="276" t="s">
        <v>175</v>
      </c>
      <c r="D77" s="324" t="s">
        <v>325</v>
      </c>
      <c r="E77" s="290" t="s">
        <v>326</v>
      </c>
      <c r="F77" s="291" t="s">
        <v>325</v>
      </c>
      <c r="G77" s="325">
        <v>21.16</v>
      </c>
      <c r="H77" s="325">
        <v>0</v>
      </c>
      <c r="I77" s="325">
        <v>21.16</v>
      </c>
      <c r="J77" s="326">
        <v>41558</v>
      </c>
      <c r="K77" s="327">
        <v>41555</v>
      </c>
      <c r="L77" s="328">
        <v>27</v>
      </c>
      <c r="M77" s="329" t="s">
        <v>327</v>
      </c>
      <c r="N77" s="333">
        <v>32068964</v>
      </c>
      <c r="O77" s="328">
        <v>9</v>
      </c>
      <c r="P77" s="97"/>
      <c r="Q77" s="97"/>
      <c r="R77" s="325">
        <v>21.16</v>
      </c>
      <c r="S77" s="97"/>
      <c r="T77" s="97"/>
      <c r="U77" s="331" t="s">
        <v>325</v>
      </c>
      <c r="V77" s="324" t="s">
        <v>325</v>
      </c>
      <c r="W77" s="97"/>
      <c r="X77" s="325">
        <v>0</v>
      </c>
      <c r="Y77" s="31"/>
    </row>
    <row r="78" spans="1:25" ht="16.25" customHeight="1">
      <c r="A78" s="334">
        <v>5828811100</v>
      </c>
      <c r="B78" s="323" t="s">
        <v>323</v>
      </c>
      <c r="C78" s="276" t="s">
        <v>175</v>
      </c>
      <c r="D78" s="324" t="s">
        <v>325</v>
      </c>
      <c r="E78" s="290" t="s">
        <v>326</v>
      </c>
      <c r="F78" s="291" t="s">
        <v>325</v>
      </c>
      <c r="G78" s="325">
        <v>21.16</v>
      </c>
      <c r="H78" s="325">
        <v>0</v>
      </c>
      <c r="I78" s="325">
        <v>21.16</v>
      </c>
      <c r="J78" s="326">
        <v>41558</v>
      </c>
      <c r="K78" s="327">
        <v>41555</v>
      </c>
      <c r="L78" s="328">
        <v>27</v>
      </c>
      <c r="M78" s="329" t="s">
        <v>327</v>
      </c>
      <c r="N78" s="333">
        <v>26985877</v>
      </c>
      <c r="O78" s="328">
        <v>9</v>
      </c>
      <c r="P78" s="97"/>
      <c r="Q78" s="97"/>
      <c r="R78" s="325">
        <v>21.16</v>
      </c>
      <c r="S78" s="97"/>
      <c r="T78" s="97"/>
      <c r="U78" s="331" t="s">
        <v>325</v>
      </c>
      <c r="V78" s="324" t="s">
        <v>325</v>
      </c>
      <c r="W78" s="97"/>
      <c r="X78" s="325">
        <v>0</v>
      </c>
      <c r="Y78" s="31"/>
    </row>
    <row r="79" spans="1:25" ht="16.25" customHeight="1">
      <c r="A79" s="334">
        <v>5913814119</v>
      </c>
      <c r="B79" s="323" t="s">
        <v>323</v>
      </c>
      <c r="C79" s="276" t="s">
        <v>178</v>
      </c>
      <c r="D79" s="324" t="s">
        <v>325</v>
      </c>
      <c r="E79" s="290" t="s">
        <v>332</v>
      </c>
      <c r="F79" s="291" t="s">
        <v>325</v>
      </c>
      <c r="G79" s="325">
        <v>201.79</v>
      </c>
      <c r="H79" s="325">
        <v>0</v>
      </c>
      <c r="I79" s="325">
        <v>201.79</v>
      </c>
      <c r="J79" s="326">
        <v>41568</v>
      </c>
      <c r="K79" s="327">
        <v>41563</v>
      </c>
      <c r="L79" s="328">
        <v>29</v>
      </c>
      <c r="M79" s="329" t="s">
        <v>327</v>
      </c>
      <c r="N79" s="333">
        <v>57721039</v>
      </c>
      <c r="O79" s="328">
        <v>2497</v>
      </c>
      <c r="P79" s="328">
        <v>12.2</v>
      </c>
      <c r="Q79" s="328">
        <v>0.29406915394761635</v>
      </c>
      <c r="R79" s="325">
        <v>201.79</v>
      </c>
      <c r="S79" s="97"/>
      <c r="T79" s="97"/>
      <c r="U79" s="331" t="s">
        <v>325</v>
      </c>
      <c r="V79" s="324" t="s">
        <v>325</v>
      </c>
      <c r="W79" s="97"/>
      <c r="X79" s="325">
        <v>0</v>
      </c>
      <c r="Y79" s="31"/>
    </row>
    <row r="80" spans="1:25" ht="16.25" customHeight="1">
      <c r="A80" s="334">
        <v>5933814115</v>
      </c>
      <c r="B80" s="323" t="s">
        <v>323</v>
      </c>
      <c r="C80" s="276" t="s">
        <v>180</v>
      </c>
      <c r="D80" s="324" t="s">
        <v>325</v>
      </c>
      <c r="E80" s="290" t="s">
        <v>332</v>
      </c>
      <c r="F80" s="291" t="s">
        <v>325</v>
      </c>
      <c r="G80" s="325">
        <v>97.89</v>
      </c>
      <c r="H80" s="325">
        <v>0</v>
      </c>
      <c r="I80" s="325">
        <v>97.89</v>
      </c>
      <c r="J80" s="326">
        <v>41568</v>
      </c>
      <c r="K80" s="327">
        <v>41563</v>
      </c>
      <c r="L80" s="328">
        <v>29</v>
      </c>
      <c r="M80" s="329" t="s">
        <v>327</v>
      </c>
      <c r="N80" s="333">
        <v>33959209</v>
      </c>
      <c r="O80" s="328">
        <v>1396</v>
      </c>
      <c r="P80" s="328">
        <v>3.2</v>
      </c>
      <c r="Q80" s="328">
        <v>0.62679597701149425</v>
      </c>
      <c r="R80" s="325">
        <v>97.89</v>
      </c>
      <c r="S80" s="97"/>
      <c r="T80" s="97"/>
      <c r="U80" s="331" t="s">
        <v>325</v>
      </c>
      <c r="V80" s="324" t="s">
        <v>325</v>
      </c>
      <c r="W80" s="97"/>
      <c r="X80" s="325">
        <v>0</v>
      </c>
      <c r="Y80" s="31"/>
    </row>
    <row r="81" spans="1:25" ht="16.25" customHeight="1">
      <c r="A81" s="334">
        <v>6053820112</v>
      </c>
      <c r="B81" s="323" t="s">
        <v>323</v>
      </c>
      <c r="C81" s="276" t="s">
        <v>182</v>
      </c>
      <c r="D81" s="324" t="s">
        <v>325</v>
      </c>
      <c r="E81" s="290" t="s">
        <v>326</v>
      </c>
      <c r="F81" s="291" t="s">
        <v>325</v>
      </c>
      <c r="G81" s="325">
        <v>22.31</v>
      </c>
      <c r="H81" s="325">
        <v>0</v>
      </c>
      <c r="I81" s="325">
        <v>22.31</v>
      </c>
      <c r="J81" s="326">
        <v>41568</v>
      </c>
      <c r="K81" s="327">
        <v>41563</v>
      </c>
      <c r="L81" s="328">
        <v>29</v>
      </c>
      <c r="M81" s="329" t="s">
        <v>327</v>
      </c>
      <c r="N81" s="333">
        <v>33065838</v>
      </c>
      <c r="O81" s="328">
        <v>28</v>
      </c>
      <c r="P81" s="97"/>
      <c r="Q81" s="97"/>
      <c r="R81" s="325">
        <v>22.31</v>
      </c>
      <c r="S81" s="97"/>
      <c r="T81" s="97"/>
      <c r="U81" s="331" t="s">
        <v>325</v>
      </c>
      <c r="V81" s="324" t="s">
        <v>325</v>
      </c>
      <c r="W81" s="97"/>
      <c r="X81" s="325">
        <v>0</v>
      </c>
      <c r="Y81" s="31"/>
    </row>
    <row r="82" spans="1:25" ht="16.25" customHeight="1">
      <c r="A82" s="334">
        <v>6173817104</v>
      </c>
      <c r="B82" s="323" t="s">
        <v>323</v>
      </c>
      <c r="C82" s="276" t="s">
        <v>184</v>
      </c>
      <c r="D82" s="324" t="s">
        <v>325</v>
      </c>
      <c r="E82" s="290" t="s">
        <v>326</v>
      </c>
      <c r="F82" s="291" t="s">
        <v>325</v>
      </c>
      <c r="G82" s="325">
        <v>42.68</v>
      </c>
      <c r="H82" s="325">
        <v>0</v>
      </c>
      <c r="I82" s="325">
        <v>42.68</v>
      </c>
      <c r="J82" s="326">
        <v>41568</v>
      </c>
      <c r="K82" s="327">
        <v>41563</v>
      </c>
      <c r="L82" s="328">
        <v>29</v>
      </c>
      <c r="M82" s="329" t="s">
        <v>327</v>
      </c>
      <c r="N82" s="333">
        <v>35094281</v>
      </c>
      <c r="O82" s="328">
        <v>364</v>
      </c>
      <c r="P82" s="97"/>
      <c r="Q82" s="97"/>
      <c r="R82" s="325">
        <v>42.68</v>
      </c>
      <c r="S82" s="97"/>
      <c r="T82" s="97"/>
      <c r="U82" s="331" t="s">
        <v>325</v>
      </c>
      <c r="V82" s="324" t="s">
        <v>325</v>
      </c>
      <c r="W82" s="97"/>
      <c r="X82" s="325">
        <v>0</v>
      </c>
      <c r="Y82" s="31"/>
    </row>
    <row r="83" spans="1:25" ht="16.25" customHeight="1">
      <c r="A83" s="334">
        <v>6368810106</v>
      </c>
      <c r="B83" s="323" t="s">
        <v>323</v>
      </c>
      <c r="C83" s="276" t="s">
        <v>186</v>
      </c>
      <c r="D83" s="324" t="s">
        <v>325</v>
      </c>
      <c r="E83" s="290" t="s">
        <v>326</v>
      </c>
      <c r="F83" s="291" t="s">
        <v>325</v>
      </c>
      <c r="G83" s="325">
        <v>146.44</v>
      </c>
      <c r="H83" s="325">
        <v>0</v>
      </c>
      <c r="I83" s="325">
        <v>146.44</v>
      </c>
      <c r="J83" s="326">
        <v>41558</v>
      </c>
      <c r="K83" s="327">
        <v>41555</v>
      </c>
      <c r="L83" s="328">
        <v>27</v>
      </c>
      <c r="M83" s="329" t="s">
        <v>327</v>
      </c>
      <c r="N83" s="333">
        <v>35800861</v>
      </c>
      <c r="O83" s="328">
        <v>2083</v>
      </c>
      <c r="P83" s="97"/>
      <c r="Q83" s="97"/>
      <c r="R83" s="325">
        <v>146.44</v>
      </c>
      <c r="S83" s="97"/>
      <c r="T83" s="97"/>
      <c r="U83" s="331" t="s">
        <v>325</v>
      </c>
      <c r="V83" s="324" t="s">
        <v>325</v>
      </c>
      <c r="W83" s="97"/>
      <c r="X83" s="325">
        <v>0</v>
      </c>
      <c r="Y83" s="31"/>
    </row>
    <row r="84" spans="1:25" ht="16.25" customHeight="1">
      <c r="A84" s="334">
        <v>6853819124</v>
      </c>
      <c r="B84" s="323" t="s">
        <v>323</v>
      </c>
      <c r="C84" s="276" t="s">
        <v>188</v>
      </c>
      <c r="D84" s="324" t="s">
        <v>325</v>
      </c>
      <c r="E84" s="290" t="s">
        <v>255</v>
      </c>
      <c r="F84" s="291" t="s">
        <v>325</v>
      </c>
      <c r="G84" s="325">
        <v>62.19</v>
      </c>
      <c r="H84" s="325">
        <v>0</v>
      </c>
      <c r="I84" s="325">
        <v>62.19</v>
      </c>
      <c r="J84" s="326">
        <v>41568</v>
      </c>
      <c r="K84" s="327">
        <v>41565</v>
      </c>
      <c r="L84" s="328">
        <v>31</v>
      </c>
      <c r="M84" s="329" t="s">
        <v>327</v>
      </c>
      <c r="N84" s="333">
        <v>31372351</v>
      </c>
      <c r="O84" s="328">
        <v>300</v>
      </c>
      <c r="P84" s="97"/>
      <c r="Q84" s="97"/>
      <c r="R84" s="325">
        <v>62.19</v>
      </c>
      <c r="S84" s="97"/>
      <c r="T84" s="97"/>
      <c r="U84" s="331" t="s">
        <v>325</v>
      </c>
      <c r="V84" s="324" t="s">
        <v>325</v>
      </c>
      <c r="W84" s="97"/>
      <c r="X84" s="325">
        <v>0</v>
      </c>
      <c r="Y84" s="31"/>
    </row>
    <row r="85" spans="1:25" ht="16.25" customHeight="1">
      <c r="A85" s="334">
        <v>6857311003</v>
      </c>
      <c r="B85" s="323" t="s">
        <v>323</v>
      </c>
      <c r="C85" s="276" t="s">
        <v>146</v>
      </c>
      <c r="D85" s="324" t="s">
        <v>325</v>
      </c>
      <c r="E85" s="290" t="s">
        <v>255</v>
      </c>
      <c r="F85" s="291" t="s">
        <v>325</v>
      </c>
      <c r="G85" s="325">
        <v>21.6</v>
      </c>
      <c r="H85" s="325">
        <v>0</v>
      </c>
      <c r="I85" s="325">
        <v>21.6</v>
      </c>
      <c r="J85" s="326">
        <v>41568</v>
      </c>
      <c r="K85" s="327">
        <v>41563</v>
      </c>
      <c r="L85" s="328">
        <v>29</v>
      </c>
      <c r="M85" s="329" t="s">
        <v>327</v>
      </c>
      <c r="N85" s="333">
        <v>32554965</v>
      </c>
      <c r="O85" s="328">
        <v>4</v>
      </c>
      <c r="P85" s="97"/>
      <c r="Q85" s="97"/>
      <c r="R85" s="325">
        <v>21.6</v>
      </c>
      <c r="S85" s="97"/>
      <c r="T85" s="97"/>
      <c r="U85" s="331" t="s">
        <v>325</v>
      </c>
      <c r="V85" s="324" t="s">
        <v>325</v>
      </c>
      <c r="W85" s="97"/>
      <c r="X85" s="325">
        <v>0</v>
      </c>
      <c r="Y85" s="31"/>
    </row>
    <row r="86" spans="1:25" ht="16.25" customHeight="1">
      <c r="A86" s="334">
        <v>7312015014</v>
      </c>
      <c r="B86" s="323" t="s">
        <v>323</v>
      </c>
      <c r="C86" s="276" t="s">
        <v>71</v>
      </c>
      <c r="D86" s="324" t="s">
        <v>325</v>
      </c>
      <c r="E86" s="290" t="s">
        <v>326</v>
      </c>
      <c r="F86" s="291" t="s">
        <v>325</v>
      </c>
      <c r="G86" s="325">
        <v>25.03</v>
      </c>
      <c r="H86" s="325">
        <v>0</v>
      </c>
      <c r="I86" s="325">
        <v>25.03</v>
      </c>
      <c r="J86" s="326">
        <v>41558</v>
      </c>
      <c r="K86" s="327">
        <v>41555</v>
      </c>
      <c r="L86" s="328">
        <v>27</v>
      </c>
      <c r="M86" s="329" t="s">
        <v>327</v>
      </c>
      <c r="N86" s="333">
        <v>31223131</v>
      </c>
      <c r="O86" s="328">
        <v>73</v>
      </c>
      <c r="P86" s="97"/>
      <c r="Q86" s="97"/>
      <c r="R86" s="325">
        <v>25.03</v>
      </c>
      <c r="S86" s="97"/>
      <c r="T86" s="97"/>
      <c r="U86" s="331" t="s">
        <v>325</v>
      </c>
      <c r="V86" s="324" t="s">
        <v>325</v>
      </c>
      <c r="W86" s="97"/>
      <c r="X86" s="325">
        <v>0</v>
      </c>
      <c r="Y86" s="31"/>
    </row>
    <row r="87" spans="1:25" ht="16.25" customHeight="1">
      <c r="A87" s="334">
        <v>8193819106</v>
      </c>
      <c r="B87" s="323" t="s">
        <v>323</v>
      </c>
      <c r="C87" s="276" t="s">
        <v>205</v>
      </c>
      <c r="D87" s="324" t="s">
        <v>325</v>
      </c>
      <c r="E87" s="291" t="s">
        <v>325</v>
      </c>
      <c r="F87" s="290" t="s">
        <v>335</v>
      </c>
      <c r="G87" s="325">
        <v>46.5</v>
      </c>
      <c r="H87" s="325">
        <v>0</v>
      </c>
      <c r="I87" s="325">
        <v>46.5</v>
      </c>
      <c r="J87" s="326">
        <v>41568</v>
      </c>
      <c r="K87" s="301"/>
      <c r="L87" s="97"/>
      <c r="M87" s="331" t="s">
        <v>325</v>
      </c>
      <c r="N87" s="332" t="s">
        <v>325</v>
      </c>
      <c r="O87" s="97"/>
      <c r="P87" s="97"/>
      <c r="Q87" s="97"/>
      <c r="R87" s="325">
        <v>0</v>
      </c>
      <c r="S87" s="326">
        <v>41563</v>
      </c>
      <c r="T87" s="328">
        <v>29</v>
      </c>
      <c r="U87" s="329" t="s">
        <v>327</v>
      </c>
      <c r="V87" s="335">
        <v>5638049</v>
      </c>
      <c r="W87" s="328">
        <v>65</v>
      </c>
      <c r="X87" s="325">
        <v>46.5</v>
      </c>
      <c r="Y87" s="31"/>
    </row>
    <row r="88" spans="1:25" ht="16.25" customHeight="1">
      <c r="A88" s="334">
        <v>8714009102</v>
      </c>
      <c r="B88" s="323" t="s">
        <v>323</v>
      </c>
      <c r="C88" s="276" t="s">
        <v>89</v>
      </c>
      <c r="D88" s="324" t="s">
        <v>325</v>
      </c>
      <c r="E88" s="290" t="s">
        <v>326</v>
      </c>
      <c r="F88" s="290" t="s">
        <v>163</v>
      </c>
      <c r="G88" s="325">
        <v>161.83000000000001</v>
      </c>
      <c r="H88" s="325">
        <v>77.83</v>
      </c>
      <c r="I88" s="325">
        <v>84</v>
      </c>
      <c r="J88" s="326">
        <v>41540</v>
      </c>
      <c r="K88" s="327">
        <v>41535</v>
      </c>
      <c r="L88" s="328">
        <v>29</v>
      </c>
      <c r="M88" s="329" t="s">
        <v>327</v>
      </c>
      <c r="N88" s="333">
        <v>33560640</v>
      </c>
      <c r="O88" s="328">
        <v>627</v>
      </c>
      <c r="P88" s="97"/>
      <c r="Q88" s="97"/>
      <c r="R88" s="325">
        <v>56.98</v>
      </c>
      <c r="S88" s="326">
        <v>41535</v>
      </c>
      <c r="T88" s="328">
        <v>29</v>
      </c>
      <c r="U88" s="329" t="s">
        <v>327</v>
      </c>
      <c r="V88" s="276" t="s">
        <v>91</v>
      </c>
      <c r="W88" s="328">
        <v>5</v>
      </c>
      <c r="X88" s="325">
        <v>27.02</v>
      </c>
      <c r="Y88" s="31"/>
    </row>
    <row r="89" spans="1:25" ht="16.25" customHeight="1">
      <c r="A89" s="334">
        <v>8993882105</v>
      </c>
      <c r="B89" s="323" t="s">
        <v>323</v>
      </c>
      <c r="C89" s="276" t="s">
        <v>92</v>
      </c>
      <c r="D89" s="324" t="s">
        <v>325</v>
      </c>
      <c r="E89" s="290" t="s">
        <v>330</v>
      </c>
      <c r="F89" s="291" t="s">
        <v>325</v>
      </c>
      <c r="G89" s="325">
        <v>96.77</v>
      </c>
      <c r="H89" s="325">
        <v>0</v>
      </c>
      <c r="I89" s="325">
        <v>96.77</v>
      </c>
      <c r="J89" s="326">
        <v>41568</v>
      </c>
      <c r="K89" s="327">
        <v>41568</v>
      </c>
      <c r="L89" s="328">
        <v>31</v>
      </c>
      <c r="M89" s="329" t="s">
        <v>327</v>
      </c>
      <c r="N89" s="332" t="s">
        <v>325</v>
      </c>
      <c r="O89" s="328">
        <v>89</v>
      </c>
      <c r="P89" s="97"/>
      <c r="Q89" s="97"/>
      <c r="R89" s="325">
        <v>96.77</v>
      </c>
      <c r="S89" s="97"/>
      <c r="T89" s="97"/>
      <c r="U89" s="331" t="s">
        <v>325</v>
      </c>
      <c r="V89" s="324" t="s">
        <v>325</v>
      </c>
      <c r="W89" s="97"/>
      <c r="X89" s="325">
        <v>0</v>
      </c>
      <c r="Y89" s="31"/>
    </row>
    <row r="90" spans="1:25" ht="16.25" customHeight="1">
      <c r="A90" s="334">
        <v>9308810101</v>
      </c>
      <c r="B90" s="323" t="s">
        <v>323</v>
      </c>
      <c r="C90" s="276" t="s">
        <v>337</v>
      </c>
      <c r="D90" s="324" t="s">
        <v>325</v>
      </c>
      <c r="E90" s="291" t="s">
        <v>325</v>
      </c>
      <c r="F90" s="290" t="s">
        <v>335</v>
      </c>
      <c r="G90" s="325">
        <v>30.64</v>
      </c>
      <c r="H90" s="325">
        <v>0</v>
      </c>
      <c r="I90" s="325">
        <v>30.64</v>
      </c>
      <c r="J90" s="326">
        <v>41558</v>
      </c>
      <c r="K90" s="301"/>
      <c r="L90" s="97"/>
      <c r="M90" s="331" t="s">
        <v>325</v>
      </c>
      <c r="N90" s="332" t="s">
        <v>325</v>
      </c>
      <c r="O90" s="97"/>
      <c r="P90" s="97"/>
      <c r="Q90" s="97"/>
      <c r="R90" s="325">
        <v>0</v>
      </c>
      <c r="S90" s="326">
        <v>41555</v>
      </c>
      <c r="T90" s="328">
        <v>27</v>
      </c>
      <c r="U90" s="329" t="s">
        <v>327</v>
      </c>
      <c r="V90" s="276" t="s">
        <v>93</v>
      </c>
      <c r="W90" s="328">
        <v>22</v>
      </c>
      <c r="X90" s="325">
        <v>30.64</v>
      </c>
      <c r="Y90" s="31"/>
    </row>
    <row r="91" spans="1:25" ht="16.25" customHeight="1">
      <c r="A91" s="334">
        <v>9428808118</v>
      </c>
      <c r="B91" s="323" t="s">
        <v>323</v>
      </c>
      <c r="C91" s="276" t="s">
        <v>94</v>
      </c>
      <c r="D91" s="324" t="s">
        <v>325</v>
      </c>
      <c r="E91" s="291" t="s">
        <v>325</v>
      </c>
      <c r="F91" s="290" t="s">
        <v>236</v>
      </c>
      <c r="G91" s="325">
        <v>20.36</v>
      </c>
      <c r="H91" s="325">
        <v>0</v>
      </c>
      <c r="I91" s="325">
        <v>20.36</v>
      </c>
      <c r="J91" s="326">
        <v>41558</v>
      </c>
      <c r="K91" s="301"/>
      <c r="L91" s="97"/>
      <c r="M91" s="331" t="s">
        <v>325</v>
      </c>
      <c r="N91" s="332" t="s">
        <v>325</v>
      </c>
      <c r="O91" s="97"/>
      <c r="P91" s="97"/>
      <c r="Q91" s="97"/>
      <c r="R91" s="325">
        <v>0</v>
      </c>
      <c r="S91" s="326">
        <v>41555</v>
      </c>
      <c r="T91" s="328">
        <v>28</v>
      </c>
      <c r="U91" s="329" t="s">
        <v>240</v>
      </c>
      <c r="V91" s="335">
        <v>1224690</v>
      </c>
      <c r="W91" s="328">
        <v>0</v>
      </c>
      <c r="X91" s="325">
        <v>20.36</v>
      </c>
      <c r="Y91" s="31"/>
    </row>
    <row r="92" spans="1:25" ht="16.25" customHeight="1">
      <c r="A92" s="334">
        <v>9488810107</v>
      </c>
      <c r="B92" s="323" t="s">
        <v>323</v>
      </c>
      <c r="C92" s="276" t="s">
        <v>337</v>
      </c>
      <c r="D92" s="324" t="s">
        <v>325</v>
      </c>
      <c r="E92" s="290" t="s">
        <v>332</v>
      </c>
      <c r="F92" s="291" t="s">
        <v>325</v>
      </c>
      <c r="G92" s="325">
        <v>3955.92</v>
      </c>
      <c r="H92" s="325">
        <v>3955.92</v>
      </c>
      <c r="I92" s="325">
        <v>0</v>
      </c>
      <c r="J92" s="326">
        <v>41536</v>
      </c>
      <c r="K92" s="327">
        <v>41527</v>
      </c>
      <c r="L92" s="328">
        <v>32</v>
      </c>
      <c r="M92" s="329" t="s">
        <v>327</v>
      </c>
      <c r="N92" s="333">
        <v>57529170</v>
      </c>
      <c r="O92" s="328">
        <v>2880</v>
      </c>
      <c r="P92" s="328">
        <v>179.2</v>
      </c>
      <c r="Q92" s="328">
        <v>2.0926339285714284E-2</v>
      </c>
      <c r="R92" s="325">
        <v>1947.85</v>
      </c>
      <c r="S92" s="97"/>
      <c r="T92" s="97"/>
      <c r="U92" s="331" t="s">
        <v>325</v>
      </c>
      <c r="V92" s="324" t="s">
        <v>325</v>
      </c>
      <c r="W92" s="97"/>
      <c r="X92" s="325">
        <v>0</v>
      </c>
      <c r="Y92" s="31"/>
    </row>
    <row r="93" spans="1:25" ht="16.25" customHeight="1">
      <c r="A93" s="334">
        <v>9529017113</v>
      </c>
      <c r="B93" s="323" t="s">
        <v>323</v>
      </c>
      <c r="C93" s="276" t="s">
        <v>99</v>
      </c>
      <c r="D93" s="324" t="s">
        <v>325</v>
      </c>
      <c r="E93" s="290" t="s">
        <v>326</v>
      </c>
      <c r="F93" s="291" t="s">
        <v>325</v>
      </c>
      <c r="G93" s="325">
        <v>81.95</v>
      </c>
      <c r="H93" s="325">
        <v>0</v>
      </c>
      <c r="I93" s="325">
        <v>81.95</v>
      </c>
      <c r="J93" s="326">
        <v>41561</v>
      </c>
      <c r="K93" s="327">
        <v>41556</v>
      </c>
      <c r="L93" s="328">
        <v>28</v>
      </c>
      <c r="M93" s="329" t="s">
        <v>327</v>
      </c>
      <c r="N93" s="333">
        <v>31488520</v>
      </c>
      <c r="O93" s="328">
        <v>1015</v>
      </c>
      <c r="P93" s="97"/>
      <c r="Q93" s="97"/>
      <c r="R93" s="325">
        <v>81.95</v>
      </c>
      <c r="S93" s="97"/>
      <c r="T93" s="97"/>
      <c r="U93" s="331" t="s">
        <v>325</v>
      </c>
      <c r="V93" s="324" t="s">
        <v>325</v>
      </c>
      <c r="W93" s="97"/>
      <c r="X93" s="325">
        <v>0</v>
      </c>
      <c r="Y93" s="31"/>
    </row>
    <row r="94" spans="1:25" ht="16.25" customHeight="1">
      <c r="A94" s="334">
        <v>9753819107</v>
      </c>
      <c r="B94" s="323" t="s">
        <v>323</v>
      </c>
      <c r="C94" s="276" t="s">
        <v>101</v>
      </c>
      <c r="D94" s="324" t="s">
        <v>325</v>
      </c>
      <c r="E94" s="290" t="s">
        <v>332</v>
      </c>
      <c r="F94" s="290" t="s">
        <v>277</v>
      </c>
      <c r="G94" s="325">
        <v>808.86</v>
      </c>
      <c r="H94" s="325">
        <v>808.86</v>
      </c>
      <c r="I94" s="325">
        <v>0</v>
      </c>
      <c r="J94" s="326">
        <v>41537</v>
      </c>
      <c r="K94" s="327">
        <v>41537</v>
      </c>
      <c r="L94" s="328">
        <v>30</v>
      </c>
      <c r="M94" s="329" t="s">
        <v>327</v>
      </c>
      <c r="N94" s="333">
        <v>55969432</v>
      </c>
      <c r="O94" s="328">
        <v>16640</v>
      </c>
      <c r="P94" s="328">
        <v>59.2</v>
      </c>
      <c r="Q94" s="328">
        <v>0.39039039039039042</v>
      </c>
      <c r="R94" s="325">
        <v>784.69</v>
      </c>
      <c r="S94" s="326">
        <v>41534</v>
      </c>
      <c r="T94" s="328">
        <v>28</v>
      </c>
      <c r="U94" s="329" t="s">
        <v>327</v>
      </c>
      <c r="V94" s="276" t="s">
        <v>103</v>
      </c>
      <c r="W94" s="328">
        <v>0</v>
      </c>
      <c r="X94" s="325">
        <v>24.17</v>
      </c>
      <c r="Y94" s="31"/>
    </row>
    <row r="95" spans="1:25" ht="16.25" customHeight="1">
      <c r="A95" s="334">
        <v>9753820119</v>
      </c>
      <c r="B95" s="323" t="s">
        <v>323</v>
      </c>
      <c r="C95" s="276" t="s">
        <v>104</v>
      </c>
      <c r="D95" s="324" t="s">
        <v>325</v>
      </c>
      <c r="E95" s="290" t="s">
        <v>326</v>
      </c>
      <c r="F95" s="291" t="s">
        <v>325</v>
      </c>
      <c r="G95" s="325">
        <v>22.91</v>
      </c>
      <c r="H95" s="325">
        <v>0</v>
      </c>
      <c r="I95" s="325">
        <v>22.91</v>
      </c>
      <c r="J95" s="326">
        <v>41568</v>
      </c>
      <c r="K95" s="327">
        <v>41563</v>
      </c>
      <c r="L95" s="328">
        <v>29</v>
      </c>
      <c r="M95" s="329" t="s">
        <v>327</v>
      </c>
      <c r="N95" s="333">
        <v>31405114</v>
      </c>
      <c r="O95" s="328">
        <v>38</v>
      </c>
      <c r="P95" s="97"/>
      <c r="Q95" s="97"/>
      <c r="R95" s="325">
        <v>22.91</v>
      </c>
      <c r="S95" s="97"/>
      <c r="T95" s="97"/>
      <c r="U95" s="331" t="s">
        <v>325</v>
      </c>
      <c r="V95" s="324" t="s">
        <v>325</v>
      </c>
      <c r="W95" s="97"/>
      <c r="X95" s="325">
        <v>0</v>
      </c>
      <c r="Y95" s="31"/>
    </row>
    <row r="96" spans="1:25" ht="16.25" customHeight="1">
      <c r="A96" s="334">
        <v>9953820104</v>
      </c>
      <c r="B96" s="323" t="s">
        <v>323</v>
      </c>
      <c r="C96" s="276" t="s">
        <v>106</v>
      </c>
      <c r="D96" s="324" t="s">
        <v>325</v>
      </c>
      <c r="E96" s="290" t="s">
        <v>326</v>
      </c>
      <c r="F96" s="291" t="s">
        <v>325</v>
      </c>
      <c r="G96" s="325">
        <v>31.94</v>
      </c>
      <c r="H96" s="325">
        <v>0</v>
      </c>
      <c r="I96" s="325">
        <v>31.94</v>
      </c>
      <c r="J96" s="326">
        <v>41568</v>
      </c>
      <c r="K96" s="327">
        <v>41563</v>
      </c>
      <c r="L96" s="328">
        <v>29</v>
      </c>
      <c r="M96" s="329" t="s">
        <v>327</v>
      </c>
      <c r="N96" s="330" t="s">
        <v>107</v>
      </c>
      <c r="O96" s="328">
        <v>187</v>
      </c>
      <c r="P96" s="97"/>
      <c r="Q96" s="97"/>
      <c r="R96" s="325">
        <v>31.94</v>
      </c>
      <c r="S96" s="97"/>
      <c r="T96" s="97"/>
      <c r="U96" s="331" t="s">
        <v>325</v>
      </c>
      <c r="V96" s="324" t="s">
        <v>325</v>
      </c>
      <c r="W96" s="97"/>
      <c r="X96" s="325">
        <v>0</v>
      </c>
      <c r="Y96" s="31"/>
    </row>
    <row r="97" spans="1:25" ht="16.25" customHeight="1">
      <c r="A97" s="97"/>
      <c r="C97" s="97"/>
      <c r="D97" s="97"/>
      <c r="E97" s="97"/>
      <c r="F97" s="97"/>
      <c r="G97" s="97"/>
      <c r="H97" s="98"/>
      <c r="I97" s="98"/>
      <c r="J97" s="98"/>
      <c r="K97" s="97"/>
      <c r="M97" s="97"/>
      <c r="N97" s="314"/>
      <c r="O97" s="301"/>
      <c r="P97" s="97"/>
      <c r="Q97" s="97"/>
      <c r="R97" s="97"/>
      <c r="S97" s="98"/>
      <c r="T97" s="97"/>
      <c r="U97" s="97"/>
      <c r="V97" s="314"/>
      <c r="W97" s="97"/>
      <c r="X97" s="97"/>
      <c r="Y97" s="98"/>
    </row>
    <row r="98" spans="1:25" ht="16.25" customHeight="1">
      <c r="A98" s="97"/>
      <c r="C98" s="97"/>
      <c r="D98" s="97"/>
      <c r="E98" s="97"/>
      <c r="F98" s="97"/>
      <c r="G98" s="97"/>
      <c r="H98" s="98"/>
      <c r="I98" s="302">
        <f>SUM(I15:I97)</f>
        <v>18023.279999999995</v>
      </c>
      <c r="J98" s="98">
        <f>SUM(J15:J97)</f>
        <v>3408065</v>
      </c>
      <c r="K98" s="97"/>
      <c r="M98" s="97"/>
      <c r="N98" s="314"/>
      <c r="O98" s="301"/>
      <c r="P98" s="97"/>
      <c r="Q98" s="97"/>
      <c r="R98" s="302">
        <f>SUM(R15:R97)</f>
        <v>19536.559999999994</v>
      </c>
      <c r="S98" s="98"/>
      <c r="T98" s="97"/>
      <c r="U98" s="97"/>
      <c r="V98" s="314"/>
      <c r="W98" s="97"/>
      <c r="X98" s="97"/>
      <c r="Y98" s="98"/>
    </row>
    <row r="99" spans="1:25" ht="16.25" customHeight="1"/>
    <row r="101" spans="1:25" s="247" customFormat="1">
      <c r="D101" s="31"/>
      <c r="E101" s="31"/>
      <c r="H101" s="88"/>
      <c r="I101" s="88"/>
      <c r="J101" s="88"/>
      <c r="K101" s="31"/>
      <c r="L101" s="301"/>
      <c r="M101" s="31"/>
      <c r="N101" s="50"/>
      <c r="O101" s="255"/>
      <c r="P101" s="31"/>
      <c r="Q101" s="31"/>
      <c r="R101" s="31"/>
      <c r="S101" s="88"/>
      <c r="T101" s="31"/>
      <c r="U101" s="31"/>
      <c r="V101" s="50"/>
      <c r="W101" s="31"/>
      <c r="X101" s="31"/>
      <c r="Y101" s="88"/>
    </row>
    <row r="102" spans="1:25" s="247" customFormat="1">
      <c r="D102" s="31"/>
      <c r="E102" s="31"/>
      <c r="H102" s="88"/>
      <c r="I102" s="88"/>
      <c r="J102" s="88"/>
      <c r="K102" s="31"/>
      <c r="L102" s="301"/>
      <c r="M102" s="31"/>
      <c r="N102" s="50"/>
      <c r="O102" s="255"/>
      <c r="P102" s="31"/>
      <c r="Q102" s="31"/>
      <c r="R102" s="31"/>
      <c r="S102" s="88"/>
      <c r="T102" s="31"/>
      <c r="U102" s="31"/>
      <c r="V102" s="50"/>
      <c r="W102" s="31"/>
      <c r="X102" s="31"/>
      <c r="Y102" s="88"/>
    </row>
    <row r="103" spans="1:25" s="247" customFormat="1">
      <c r="D103" s="31"/>
      <c r="E103" s="31"/>
      <c r="H103" s="88"/>
      <c r="I103" s="88"/>
      <c r="J103" s="88"/>
      <c r="K103" s="31"/>
      <c r="L103" s="301"/>
      <c r="M103" s="31"/>
      <c r="N103" s="50"/>
      <c r="O103" s="255"/>
      <c r="P103" s="31"/>
      <c r="Q103" s="31"/>
      <c r="R103" s="31"/>
      <c r="S103" s="88"/>
      <c r="T103" s="31"/>
      <c r="U103" s="31"/>
      <c r="V103" s="50"/>
      <c r="W103" s="31"/>
      <c r="X103" s="31"/>
      <c r="Y103" s="88"/>
    </row>
    <row r="104" spans="1:25" s="247" customFormat="1">
      <c r="D104" s="31"/>
      <c r="E104" s="31"/>
      <c r="H104" s="88"/>
      <c r="I104" s="88"/>
      <c r="J104" s="88"/>
      <c r="K104" s="31"/>
      <c r="L104" s="301"/>
      <c r="M104" s="31"/>
      <c r="N104" s="50"/>
      <c r="O104" s="255"/>
      <c r="P104" s="31"/>
      <c r="Q104" s="31"/>
      <c r="R104" s="31"/>
      <c r="S104" s="88"/>
      <c r="T104" s="31"/>
      <c r="U104" s="31"/>
      <c r="V104" s="50"/>
      <c r="W104" s="31"/>
      <c r="X104" s="31"/>
      <c r="Y104" s="88"/>
    </row>
    <row r="105" spans="1:25" s="247" customFormat="1">
      <c r="D105" s="31"/>
      <c r="E105" s="31"/>
      <c r="H105" s="88"/>
      <c r="I105" s="88"/>
      <c r="J105" s="88"/>
      <c r="K105" s="31"/>
      <c r="L105" s="301"/>
      <c r="M105" s="31"/>
      <c r="N105" s="50"/>
      <c r="O105" s="255"/>
      <c r="P105" s="31"/>
      <c r="Q105" s="31"/>
      <c r="R105" s="31"/>
      <c r="S105" s="88"/>
      <c r="T105" s="31"/>
      <c r="U105" s="31"/>
      <c r="V105" s="50"/>
      <c r="W105" s="31"/>
      <c r="X105" s="31"/>
      <c r="Y105" s="88"/>
    </row>
    <row r="106" spans="1:25" s="247" customFormat="1">
      <c r="D106" s="31"/>
      <c r="E106" s="31"/>
      <c r="H106" s="88"/>
      <c r="I106" s="88"/>
      <c r="J106" s="88"/>
      <c r="K106" s="31"/>
      <c r="L106" s="301"/>
      <c r="M106" s="31"/>
      <c r="N106" s="50"/>
      <c r="O106" s="255"/>
      <c r="P106" s="31"/>
      <c r="Q106" s="31"/>
      <c r="R106" s="31"/>
      <c r="S106" s="88"/>
      <c r="T106" s="31"/>
      <c r="U106" s="31"/>
      <c r="V106" s="50"/>
      <c r="W106" s="31"/>
      <c r="X106" s="31"/>
      <c r="Y106" s="88"/>
    </row>
    <row r="107" spans="1:25" s="247" customFormat="1">
      <c r="D107" s="31"/>
      <c r="E107" s="31"/>
      <c r="H107" s="88"/>
      <c r="I107" s="88"/>
      <c r="J107" s="88"/>
      <c r="K107" s="31"/>
      <c r="L107" s="301"/>
      <c r="M107" s="31"/>
      <c r="N107" s="50"/>
      <c r="O107" s="255"/>
      <c r="P107" s="31"/>
      <c r="Q107" s="31"/>
      <c r="R107" s="31"/>
      <c r="S107" s="88"/>
      <c r="T107" s="31"/>
      <c r="U107" s="31"/>
      <c r="V107" s="50"/>
      <c r="W107" s="31"/>
      <c r="X107" s="31"/>
      <c r="Y107" s="88"/>
    </row>
    <row r="108" spans="1:25" s="247" customFormat="1">
      <c r="D108" s="31"/>
      <c r="E108" s="31"/>
      <c r="H108" s="88"/>
      <c r="I108" s="88"/>
      <c r="J108" s="88"/>
      <c r="K108" s="31"/>
      <c r="L108" s="301"/>
      <c r="M108" s="31"/>
      <c r="N108" s="50"/>
      <c r="O108" s="255"/>
      <c r="P108" s="31"/>
      <c r="Q108" s="31"/>
      <c r="R108" s="31"/>
      <c r="S108" s="88"/>
      <c r="T108" s="31"/>
      <c r="U108" s="31"/>
      <c r="V108" s="50"/>
      <c r="W108" s="31"/>
      <c r="X108" s="31"/>
      <c r="Y108" s="88"/>
    </row>
    <row r="109" spans="1:25" s="247" customFormat="1">
      <c r="D109" s="31"/>
      <c r="E109" s="31"/>
      <c r="H109" s="88"/>
      <c r="I109" s="88"/>
      <c r="J109" s="88"/>
      <c r="K109" s="31"/>
      <c r="L109" s="301"/>
      <c r="M109" s="31"/>
      <c r="N109" s="50"/>
      <c r="O109" s="255"/>
      <c r="P109" s="31"/>
      <c r="Q109" s="31"/>
      <c r="R109" s="31"/>
      <c r="S109" s="88"/>
      <c r="T109" s="31"/>
      <c r="U109" s="31"/>
      <c r="V109" s="50"/>
      <c r="W109" s="31"/>
      <c r="X109" s="31"/>
      <c r="Y109" s="88"/>
    </row>
  </sheetData>
  <mergeCells count="3">
    <mergeCell ref="A5:E5"/>
    <mergeCell ref="A6:E6"/>
    <mergeCell ref="A11:B11"/>
  </mergeCells>
  <phoneticPr fontId="7" type="noConversion"/>
  <pageMargins left="0.25" right="0.25" top="0.25" bottom="0.25" header="0" footer="0"/>
  <headerFooter alignWithMargins="0"/>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4:X102"/>
  <sheetViews>
    <sheetView zoomScaleNormal="162" zoomScaleSheetLayoutView="181" zoomScalePageLayoutView="162" workbookViewId="0"/>
  </sheetViews>
  <sheetFormatPr baseColWidth="10" defaultColWidth="8.83203125" defaultRowHeight="14" x14ac:dyDescent="0"/>
  <cols>
    <col min="1" max="1" width="16.5" style="35" customWidth="1"/>
    <col min="2" max="2" width="13.33203125" style="125" customWidth="1"/>
    <col min="3" max="3" width="43.1640625" style="35" customWidth="1"/>
    <col min="4" max="4" width="10.83203125" style="35" customWidth="1"/>
    <col min="5" max="5" width="11.6640625" style="35" customWidth="1"/>
    <col min="6" max="6" width="9" style="35" hidden="1" customWidth="1"/>
    <col min="7" max="7" width="12" style="35" hidden="1" customWidth="1"/>
    <col min="8" max="8" width="9.5" style="257" hidden="1" customWidth="1"/>
    <col min="9" max="9" width="11.33203125" style="257" customWidth="1"/>
    <col min="10" max="10" width="10.6640625" style="257" hidden="1" customWidth="1"/>
    <col min="11" max="11" width="10.33203125" style="35" hidden="1" customWidth="1"/>
    <col min="12" max="12" width="8" style="35" hidden="1" customWidth="1"/>
    <col min="13" max="13" width="10.5" style="125" hidden="1" customWidth="1"/>
    <col min="14" max="14" width="11.5" style="35" hidden="1" customWidth="1"/>
    <col min="15" max="15" width="10.33203125" style="35" customWidth="1"/>
    <col min="16" max="16" width="14" style="257" hidden="1" customWidth="1"/>
    <col min="17" max="17" width="8.83203125" style="35" hidden="1" customWidth="1"/>
    <col min="18" max="18" width="12.5" style="35" customWidth="1"/>
    <col min="19" max="19" width="10.33203125" style="35" hidden="1" customWidth="1"/>
    <col min="20" max="22" width="8.83203125" style="35" hidden="1" customWidth="1"/>
    <col min="23" max="23" width="8.83203125" style="35"/>
    <col min="24" max="24" width="11.5" style="35" customWidth="1"/>
    <col min="25" max="16384" width="8.83203125" style="35"/>
  </cols>
  <sheetData>
    <row r="4" spans="1:24" ht="15" thickBot="1"/>
    <row r="5" spans="1:24" ht="15" thickBot="1">
      <c r="A5" s="707" t="s">
        <v>289</v>
      </c>
      <c r="B5" s="708"/>
      <c r="C5" s="708"/>
      <c r="D5" s="708"/>
      <c r="E5" s="709"/>
      <c r="G5" s="257"/>
      <c r="J5" s="35"/>
      <c r="O5" s="257"/>
      <c r="P5" s="35"/>
    </row>
    <row r="6" spans="1:24" ht="15" thickBot="1">
      <c r="A6" s="726" t="s">
        <v>290</v>
      </c>
      <c r="B6" s="727"/>
      <c r="C6" s="727"/>
      <c r="D6" s="727"/>
      <c r="E6" s="728"/>
      <c r="G6" s="257"/>
      <c r="J6" s="35"/>
      <c r="O6" s="257"/>
      <c r="P6" s="35"/>
    </row>
    <row r="7" spans="1:24">
      <c r="A7" s="89" t="s">
        <v>291</v>
      </c>
      <c r="B7" s="336"/>
      <c r="C7" s="91"/>
      <c r="D7" s="91"/>
      <c r="E7" s="92"/>
      <c r="G7" s="257"/>
      <c r="J7" s="35"/>
      <c r="O7" s="257"/>
      <c r="P7" s="35"/>
    </row>
    <row r="8" spans="1:24" ht="15" thickBot="1">
      <c r="A8" s="258" t="s">
        <v>292</v>
      </c>
      <c r="B8" s="337"/>
      <c r="C8" s="259"/>
      <c r="D8" s="259"/>
      <c r="E8" s="260"/>
      <c r="G8" s="257"/>
      <c r="J8" s="35"/>
      <c r="O8" s="257"/>
      <c r="P8" s="35"/>
    </row>
    <row r="9" spans="1:24" ht="15" thickBot="1">
      <c r="A9" s="148" t="s">
        <v>293</v>
      </c>
      <c r="B9" s="338" t="s">
        <v>294</v>
      </c>
      <c r="C9" s="262">
        <v>41598</v>
      </c>
      <c r="D9" s="148" t="s">
        <v>295</v>
      </c>
      <c r="E9" s="262">
        <f>C9+14</f>
        <v>41612</v>
      </c>
      <c r="G9" s="257"/>
      <c r="J9" s="35"/>
      <c r="O9" s="257"/>
      <c r="P9" s="35"/>
    </row>
    <row r="10" spans="1:24" ht="15" thickBot="1">
      <c r="A10" s="191" t="s">
        <v>296</v>
      </c>
      <c r="B10" s="339">
        <f>I98</f>
        <v>20388.489999999998</v>
      </c>
      <c r="C10" s="91"/>
      <c r="D10" s="91"/>
      <c r="E10" s="92"/>
      <c r="G10" s="257"/>
      <c r="J10" s="35"/>
      <c r="O10" s="257"/>
      <c r="P10" s="35"/>
    </row>
    <row r="11" spans="1:24" ht="15" thickBot="1">
      <c r="A11" s="718" t="s">
        <v>297</v>
      </c>
      <c r="B11" s="719"/>
      <c r="C11" s="264">
        <v>41569</v>
      </c>
      <c r="D11" s="154" t="s">
        <v>298</v>
      </c>
      <c r="E11" s="262">
        <v>41598</v>
      </c>
      <c r="G11" s="257"/>
      <c r="J11" s="35"/>
      <c r="O11" s="257"/>
      <c r="P11" s="35"/>
    </row>
    <row r="12" spans="1:24" ht="15" thickBot="1">
      <c r="A12" s="265" t="s">
        <v>299</v>
      </c>
      <c r="B12" s="154"/>
      <c r="C12" s="266"/>
      <c r="D12" s="266"/>
      <c r="E12" s="261"/>
      <c r="G12" s="257"/>
      <c r="J12" s="35"/>
      <c r="O12" s="257"/>
      <c r="P12" s="35"/>
    </row>
    <row r="13" spans="1:24" ht="15" thickBot="1">
      <c r="A13" s="195">
        <f>E11</f>
        <v>41598</v>
      </c>
      <c r="B13" s="154"/>
      <c r="C13" s="266"/>
      <c r="D13" s="266"/>
      <c r="E13" s="261"/>
      <c r="G13" s="257"/>
      <c r="J13" s="35"/>
      <c r="O13" s="257"/>
      <c r="P13" s="35"/>
    </row>
    <row r="14" spans="1:24" s="116" customFormat="1" ht="29" customHeight="1">
      <c r="A14" s="58" t="s">
        <v>370</v>
      </c>
      <c r="B14" s="320" t="s">
        <v>300</v>
      </c>
      <c r="C14" s="114" t="s">
        <v>301</v>
      </c>
      <c r="D14" s="114" t="s">
        <v>302</v>
      </c>
      <c r="E14" s="114" t="s">
        <v>303</v>
      </c>
      <c r="F14" s="114" t="s">
        <v>304</v>
      </c>
      <c r="G14" s="115" t="s">
        <v>305</v>
      </c>
      <c r="H14" s="115" t="s">
        <v>306</v>
      </c>
      <c r="I14" s="115" t="s">
        <v>307</v>
      </c>
      <c r="J14" s="114" t="s">
        <v>308</v>
      </c>
      <c r="K14" s="114" t="s">
        <v>309</v>
      </c>
      <c r="L14" s="114" t="s">
        <v>310</v>
      </c>
      <c r="M14" s="114" t="s">
        <v>311</v>
      </c>
      <c r="N14" s="114" t="s">
        <v>312</v>
      </c>
      <c r="O14" s="114" t="s">
        <v>313</v>
      </c>
      <c r="P14" s="114" t="s">
        <v>314</v>
      </c>
      <c r="Q14" s="114" t="s">
        <v>315</v>
      </c>
      <c r="R14" s="115" t="s">
        <v>72</v>
      </c>
      <c r="S14" s="114" t="s">
        <v>73</v>
      </c>
      <c r="T14" s="114" t="s">
        <v>74</v>
      </c>
      <c r="U14" s="114" t="s">
        <v>319</v>
      </c>
      <c r="V14" s="114" t="s">
        <v>320</v>
      </c>
      <c r="W14" s="114" t="s">
        <v>321</v>
      </c>
      <c r="X14" s="115" t="s">
        <v>322</v>
      </c>
    </row>
    <row r="15" spans="1:24" s="31" customFormat="1" ht="13.5" customHeight="1">
      <c r="A15" s="270">
        <v>143027007</v>
      </c>
      <c r="B15" s="323" t="s">
        <v>323</v>
      </c>
      <c r="C15" s="119" t="s">
        <v>324</v>
      </c>
      <c r="D15" s="340" t="s">
        <v>325</v>
      </c>
      <c r="E15" s="119" t="s">
        <v>326</v>
      </c>
      <c r="F15" s="340" t="s">
        <v>325</v>
      </c>
      <c r="G15" s="120">
        <v>23.68</v>
      </c>
      <c r="H15" s="120">
        <v>0</v>
      </c>
      <c r="I15" s="341">
        <v>23.68</v>
      </c>
      <c r="J15" s="121">
        <v>41597</v>
      </c>
      <c r="K15" s="121">
        <v>41592</v>
      </c>
      <c r="L15" s="122">
        <v>29</v>
      </c>
      <c r="M15" s="272" t="s">
        <v>327</v>
      </c>
      <c r="N15" s="272" t="s">
        <v>328</v>
      </c>
      <c r="O15" s="122">
        <v>55</v>
      </c>
      <c r="R15" s="120">
        <v>23.68</v>
      </c>
      <c r="U15" s="340" t="s">
        <v>325</v>
      </c>
      <c r="V15" s="342" t="s">
        <v>325</v>
      </c>
      <c r="X15" s="120">
        <v>0</v>
      </c>
    </row>
    <row r="16" spans="1:24" s="31" customFormat="1" ht="13.5" customHeight="1">
      <c r="A16" s="270">
        <v>173880101</v>
      </c>
      <c r="B16" s="323" t="s">
        <v>323</v>
      </c>
      <c r="C16" s="119" t="s">
        <v>329</v>
      </c>
      <c r="D16" s="340" t="s">
        <v>325</v>
      </c>
      <c r="E16" s="119" t="s">
        <v>330</v>
      </c>
      <c r="F16" s="340" t="s">
        <v>325</v>
      </c>
      <c r="G16" s="120">
        <v>11.41</v>
      </c>
      <c r="H16" s="120">
        <v>0</v>
      </c>
      <c r="I16" s="341">
        <v>11.41</v>
      </c>
      <c r="J16" s="121">
        <v>41597</v>
      </c>
      <c r="K16" s="121">
        <v>41597</v>
      </c>
      <c r="L16" s="122">
        <v>29</v>
      </c>
      <c r="M16" s="272" t="s">
        <v>327</v>
      </c>
      <c r="N16" s="342" t="s">
        <v>325</v>
      </c>
      <c r="O16" s="122">
        <v>68</v>
      </c>
      <c r="R16" s="120">
        <v>11.41</v>
      </c>
      <c r="U16" s="340" t="s">
        <v>325</v>
      </c>
      <c r="V16" s="342" t="s">
        <v>325</v>
      </c>
      <c r="X16" s="120">
        <v>0</v>
      </c>
    </row>
    <row r="17" spans="1:24" s="31" customFormat="1" ht="13.5" customHeight="1">
      <c r="A17" s="270">
        <v>208811116</v>
      </c>
      <c r="B17" s="323" t="s">
        <v>323</v>
      </c>
      <c r="C17" s="119" t="s">
        <v>331</v>
      </c>
      <c r="D17" s="340" t="s">
        <v>325</v>
      </c>
      <c r="E17" s="119" t="s">
        <v>332</v>
      </c>
      <c r="F17" s="340" t="s">
        <v>325</v>
      </c>
      <c r="G17" s="120">
        <v>145.44</v>
      </c>
      <c r="H17" s="120">
        <v>0</v>
      </c>
      <c r="I17" s="341">
        <v>145.44</v>
      </c>
      <c r="J17" s="121">
        <v>41590</v>
      </c>
      <c r="K17" s="121">
        <v>41584</v>
      </c>
      <c r="L17" s="122">
        <v>29</v>
      </c>
      <c r="M17" s="272" t="s">
        <v>327</v>
      </c>
      <c r="N17" s="272" t="s">
        <v>333</v>
      </c>
      <c r="O17" s="122">
        <v>1644</v>
      </c>
      <c r="P17" s="122">
        <v>8.3000000000000007</v>
      </c>
      <c r="Q17" s="122">
        <v>0.28458662235147492</v>
      </c>
      <c r="R17" s="120">
        <v>145.44</v>
      </c>
      <c r="U17" s="340" t="s">
        <v>325</v>
      </c>
      <c r="V17" s="342" t="s">
        <v>325</v>
      </c>
      <c r="X17" s="120">
        <v>0</v>
      </c>
    </row>
    <row r="18" spans="1:24" s="31" customFormat="1" ht="13.5" customHeight="1">
      <c r="A18" s="270">
        <v>248811109</v>
      </c>
      <c r="B18" s="323" t="s">
        <v>323</v>
      </c>
      <c r="C18" s="119" t="s">
        <v>334</v>
      </c>
      <c r="D18" s="340" t="s">
        <v>325</v>
      </c>
      <c r="E18" s="340" t="s">
        <v>325</v>
      </c>
      <c r="F18" s="119" t="s">
        <v>335</v>
      </c>
      <c r="G18" s="120">
        <v>119.19</v>
      </c>
      <c r="H18" s="120">
        <v>0</v>
      </c>
      <c r="I18" s="341">
        <v>119.19</v>
      </c>
      <c r="J18" s="121">
        <v>41590</v>
      </c>
      <c r="M18" s="342" t="s">
        <v>325</v>
      </c>
      <c r="N18" s="342" t="s">
        <v>325</v>
      </c>
      <c r="R18" s="120">
        <v>0</v>
      </c>
      <c r="S18" s="121">
        <v>41585</v>
      </c>
      <c r="T18" s="122">
        <v>30</v>
      </c>
      <c r="U18" s="119" t="s">
        <v>327</v>
      </c>
      <c r="V18" s="272" t="s">
        <v>336</v>
      </c>
      <c r="W18" s="122">
        <v>276</v>
      </c>
      <c r="X18" s="120">
        <v>119.19</v>
      </c>
    </row>
    <row r="19" spans="1:24" s="31" customFormat="1" ht="13.5" customHeight="1">
      <c r="A19" s="270">
        <v>288811101</v>
      </c>
      <c r="B19" s="323" t="s">
        <v>323</v>
      </c>
      <c r="C19" s="119" t="s">
        <v>337</v>
      </c>
      <c r="D19" s="340" t="s">
        <v>325</v>
      </c>
      <c r="E19" s="119" t="s">
        <v>332</v>
      </c>
      <c r="F19" s="340" t="s">
        <v>325</v>
      </c>
      <c r="G19" s="120">
        <v>474.18</v>
      </c>
      <c r="H19" s="120">
        <v>0</v>
      </c>
      <c r="I19" s="341">
        <v>474.18</v>
      </c>
      <c r="J19" s="121">
        <v>41590</v>
      </c>
      <c r="K19" s="121">
        <v>41584</v>
      </c>
      <c r="L19" s="122">
        <v>29</v>
      </c>
      <c r="M19" s="272" t="s">
        <v>327</v>
      </c>
      <c r="N19" s="272" t="s">
        <v>338</v>
      </c>
      <c r="O19" s="122">
        <v>7280</v>
      </c>
      <c r="P19" s="122">
        <v>37.6</v>
      </c>
      <c r="Q19" s="122">
        <v>0.27818537539740773</v>
      </c>
      <c r="R19" s="120">
        <v>474.18</v>
      </c>
      <c r="U19" s="340" t="s">
        <v>325</v>
      </c>
      <c r="V19" s="342" t="s">
        <v>325</v>
      </c>
      <c r="X19" s="120">
        <v>0</v>
      </c>
    </row>
    <row r="20" spans="1:24" s="31" customFormat="1" ht="13.5" customHeight="1">
      <c r="A20" s="270">
        <v>293879106</v>
      </c>
      <c r="B20" s="323" t="s">
        <v>323</v>
      </c>
      <c r="C20" s="119" t="s">
        <v>339</v>
      </c>
      <c r="D20" s="119" t="s">
        <v>340</v>
      </c>
      <c r="E20" s="119" t="s">
        <v>330</v>
      </c>
      <c r="F20" s="340" t="s">
        <v>325</v>
      </c>
      <c r="G20" s="120">
        <v>265.77999999999997</v>
      </c>
      <c r="H20" s="120">
        <v>0</v>
      </c>
      <c r="I20" s="341">
        <v>265.77999999999997</v>
      </c>
      <c r="J20" s="121">
        <v>41597</v>
      </c>
      <c r="K20" s="121">
        <v>41597</v>
      </c>
      <c r="L20" s="122">
        <v>29</v>
      </c>
      <c r="M20" s="272" t="s">
        <v>327</v>
      </c>
      <c r="N20" s="342" t="s">
        <v>325</v>
      </c>
      <c r="O20" s="122">
        <v>846</v>
      </c>
      <c r="R20" s="120">
        <v>265.77999999999997</v>
      </c>
      <c r="U20" s="340" t="s">
        <v>325</v>
      </c>
      <c r="V20" s="342" t="s">
        <v>325</v>
      </c>
      <c r="X20" s="120">
        <v>0</v>
      </c>
    </row>
    <row r="21" spans="1:24" s="31" customFormat="1" ht="13.5" customHeight="1">
      <c r="A21" s="270">
        <v>308809118</v>
      </c>
      <c r="B21" s="323" t="s">
        <v>323</v>
      </c>
      <c r="C21" s="119" t="s">
        <v>341</v>
      </c>
      <c r="D21" s="340" t="s">
        <v>325</v>
      </c>
      <c r="E21" s="119" t="s">
        <v>342</v>
      </c>
      <c r="F21" s="119" t="s">
        <v>236</v>
      </c>
      <c r="G21" s="120">
        <v>181.31</v>
      </c>
      <c r="H21" s="120">
        <v>0</v>
      </c>
      <c r="I21" s="341">
        <v>181.31</v>
      </c>
      <c r="J21" s="121">
        <v>41590</v>
      </c>
      <c r="K21" s="121">
        <v>41585</v>
      </c>
      <c r="L21" s="122">
        <v>30</v>
      </c>
      <c r="M21" s="272" t="s">
        <v>327</v>
      </c>
      <c r="N21" s="272" t="s">
        <v>237</v>
      </c>
      <c r="O21" s="122">
        <v>467</v>
      </c>
      <c r="R21" s="120">
        <v>37.229999999999997</v>
      </c>
      <c r="S21" s="121">
        <v>41585</v>
      </c>
      <c r="T21" s="122">
        <v>30</v>
      </c>
      <c r="U21" s="119" t="s">
        <v>327</v>
      </c>
      <c r="V21" s="272" t="s">
        <v>238</v>
      </c>
      <c r="W21" s="122">
        <v>198</v>
      </c>
      <c r="X21" s="120">
        <v>144.08000000000001</v>
      </c>
    </row>
    <row r="22" spans="1:24" s="31" customFormat="1" ht="13.5" customHeight="1">
      <c r="A22" s="270">
        <v>375074007</v>
      </c>
      <c r="B22" s="323" t="s">
        <v>323</v>
      </c>
      <c r="C22" s="119" t="s">
        <v>239</v>
      </c>
      <c r="D22" s="340" t="s">
        <v>325</v>
      </c>
      <c r="E22" s="119" t="s">
        <v>326</v>
      </c>
      <c r="F22" s="340" t="s">
        <v>325</v>
      </c>
      <c r="G22" s="120">
        <v>30.61</v>
      </c>
      <c r="H22" s="120">
        <v>0</v>
      </c>
      <c r="I22" s="341">
        <v>30.61</v>
      </c>
      <c r="J22" s="121">
        <v>41597</v>
      </c>
      <c r="K22" s="121">
        <v>41592</v>
      </c>
      <c r="L22" s="122">
        <v>29</v>
      </c>
      <c r="M22" s="272" t="s">
        <v>327</v>
      </c>
      <c r="N22" s="272" t="s">
        <v>129</v>
      </c>
      <c r="O22" s="122">
        <v>180</v>
      </c>
      <c r="R22" s="120">
        <v>30.61</v>
      </c>
      <c r="U22" s="340" t="s">
        <v>325</v>
      </c>
      <c r="V22" s="342" t="s">
        <v>325</v>
      </c>
      <c r="X22" s="120">
        <v>0</v>
      </c>
    </row>
    <row r="23" spans="1:24" s="31" customFormat="1" ht="13.5" customHeight="1">
      <c r="A23" s="270">
        <v>783104003</v>
      </c>
      <c r="B23" s="323" t="s">
        <v>323</v>
      </c>
      <c r="C23" s="119" t="s">
        <v>242</v>
      </c>
      <c r="D23" s="340" t="s">
        <v>325</v>
      </c>
      <c r="E23" s="119" t="s">
        <v>326</v>
      </c>
      <c r="F23" s="271" t="s">
        <v>325</v>
      </c>
      <c r="G23" s="120">
        <v>21.3</v>
      </c>
      <c r="H23" s="120">
        <v>0</v>
      </c>
      <c r="I23" s="341">
        <v>21.3</v>
      </c>
      <c r="J23" s="121">
        <v>41590</v>
      </c>
      <c r="K23" s="121">
        <v>41585</v>
      </c>
      <c r="L23" s="122">
        <v>30</v>
      </c>
      <c r="M23" s="272" t="s">
        <v>327</v>
      </c>
      <c r="N23" s="272" t="s">
        <v>243</v>
      </c>
      <c r="O23" s="122">
        <v>12</v>
      </c>
      <c r="R23" s="120">
        <v>21.3</v>
      </c>
      <c r="U23" s="271" t="s">
        <v>325</v>
      </c>
      <c r="V23" s="277" t="s">
        <v>325</v>
      </c>
      <c r="X23" s="120">
        <v>0</v>
      </c>
    </row>
    <row r="24" spans="1:24" s="31" customFormat="1" ht="13.5" customHeight="1">
      <c r="A24" s="270">
        <v>852028007</v>
      </c>
      <c r="B24" s="323" t="s">
        <v>323</v>
      </c>
      <c r="C24" s="119" t="s">
        <v>244</v>
      </c>
      <c r="D24" s="271" t="s">
        <v>325</v>
      </c>
      <c r="E24" s="271" t="s">
        <v>325</v>
      </c>
      <c r="F24" s="119" t="s">
        <v>335</v>
      </c>
      <c r="G24" s="120">
        <v>120.98</v>
      </c>
      <c r="H24" s="120">
        <v>0</v>
      </c>
      <c r="I24" s="341">
        <v>120.98</v>
      </c>
      <c r="J24" s="121">
        <v>41597</v>
      </c>
      <c r="M24" s="277" t="s">
        <v>325</v>
      </c>
      <c r="N24" s="277" t="s">
        <v>325</v>
      </c>
      <c r="R24" s="120">
        <v>0</v>
      </c>
      <c r="S24" s="121">
        <v>41592</v>
      </c>
      <c r="T24" s="122">
        <v>29</v>
      </c>
      <c r="U24" s="119" t="s">
        <v>327</v>
      </c>
      <c r="V24" s="272" t="s">
        <v>245</v>
      </c>
      <c r="W24" s="122">
        <v>294</v>
      </c>
      <c r="X24" s="120">
        <v>120.98</v>
      </c>
    </row>
    <row r="25" spans="1:24" s="31" customFormat="1" ht="13.5" customHeight="1">
      <c r="A25" s="270">
        <v>893816110</v>
      </c>
      <c r="B25" s="323" t="s">
        <v>323</v>
      </c>
      <c r="C25" s="119" t="s">
        <v>246</v>
      </c>
      <c r="D25" s="271" t="s">
        <v>325</v>
      </c>
      <c r="E25" s="119" t="s">
        <v>326</v>
      </c>
      <c r="F25" s="271" t="s">
        <v>325</v>
      </c>
      <c r="G25" s="120">
        <v>26.22</v>
      </c>
      <c r="H25" s="120">
        <v>0</v>
      </c>
      <c r="I25" s="341">
        <v>26.22</v>
      </c>
      <c r="J25" s="121">
        <v>41597</v>
      </c>
      <c r="K25" s="121">
        <v>41592</v>
      </c>
      <c r="L25" s="122">
        <v>29</v>
      </c>
      <c r="M25" s="272" t="s">
        <v>327</v>
      </c>
      <c r="N25" s="272" t="s">
        <v>133</v>
      </c>
      <c r="O25" s="122">
        <v>101</v>
      </c>
      <c r="R25" s="120">
        <v>26.22</v>
      </c>
      <c r="U25" s="271" t="s">
        <v>325</v>
      </c>
      <c r="V25" s="277" t="s">
        <v>325</v>
      </c>
      <c r="X25" s="120">
        <v>0</v>
      </c>
    </row>
    <row r="26" spans="1:24" s="31" customFormat="1" ht="13.5" customHeight="1">
      <c r="A26" s="270">
        <v>893819102</v>
      </c>
      <c r="B26" s="323" t="s">
        <v>323</v>
      </c>
      <c r="C26" s="119" t="s">
        <v>248</v>
      </c>
      <c r="D26" s="271" t="s">
        <v>325</v>
      </c>
      <c r="E26" s="271" t="s">
        <v>325</v>
      </c>
      <c r="F26" s="119" t="s">
        <v>335</v>
      </c>
      <c r="G26" s="120">
        <v>44.5</v>
      </c>
      <c r="H26" s="120">
        <v>0</v>
      </c>
      <c r="I26" s="341">
        <v>44.5</v>
      </c>
      <c r="J26" s="121">
        <v>41597</v>
      </c>
      <c r="M26" s="277" t="s">
        <v>325</v>
      </c>
      <c r="N26" s="277" t="s">
        <v>325</v>
      </c>
      <c r="R26" s="120">
        <v>0</v>
      </c>
      <c r="S26" s="121">
        <v>41592</v>
      </c>
      <c r="T26" s="122">
        <v>29</v>
      </c>
      <c r="U26" s="119" t="s">
        <v>327</v>
      </c>
      <c r="V26" s="272" t="s">
        <v>249</v>
      </c>
      <c r="W26" s="122">
        <v>64</v>
      </c>
      <c r="X26" s="120">
        <v>44.5</v>
      </c>
    </row>
    <row r="27" spans="1:24" s="31" customFormat="1" ht="13.5" customHeight="1">
      <c r="A27" s="270">
        <v>913819100</v>
      </c>
      <c r="B27" s="323" t="s">
        <v>323</v>
      </c>
      <c r="C27" s="119" t="s">
        <v>250</v>
      </c>
      <c r="D27" s="271" t="s">
        <v>325</v>
      </c>
      <c r="E27" s="271" t="s">
        <v>325</v>
      </c>
      <c r="F27" s="119" t="s">
        <v>335</v>
      </c>
      <c r="G27" s="120">
        <v>45.85</v>
      </c>
      <c r="H27" s="120">
        <v>0</v>
      </c>
      <c r="I27" s="341">
        <v>45.85</v>
      </c>
      <c r="J27" s="121">
        <v>41597</v>
      </c>
      <c r="M27" s="277" t="s">
        <v>325</v>
      </c>
      <c r="N27" s="277" t="s">
        <v>325</v>
      </c>
      <c r="R27" s="120">
        <v>0</v>
      </c>
      <c r="S27" s="121">
        <v>41592</v>
      </c>
      <c r="T27" s="122">
        <v>29</v>
      </c>
      <c r="U27" s="119" t="s">
        <v>327</v>
      </c>
      <c r="V27" s="272" t="s">
        <v>251</v>
      </c>
      <c r="W27" s="122">
        <v>68</v>
      </c>
      <c r="X27" s="120">
        <v>45.85</v>
      </c>
    </row>
    <row r="28" spans="1:24" s="31" customFormat="1" ht="13.5" customHeight="1">
      <c r="A28" s="270">
        <v>933819115</v>
      </c>
      <c r="B28" s="323" t="s">
        <v>323</v>
      </c>
      <c r="C28" s="119" t="s">
        <v>252</v>
      </c>
      <c r="D28" s="271" t="s">
        <v>325</v>
      </c>
      <c r="E28" s="271" t="s">
        <v>325</v>
      </c>
      <c r="F28" s="119" t="s">
        <v>335</v>
      </c>
      <c r="G28" s="120">
        <v>58.66</v>
      </c>
      <c r="H28" s="120">
        <v>0</v>
      </c>
      <c r="I28" s="341">
        <v>58.66</v>
      </c>
      <c r="J28" s="121">
        <v>41597</v>
      </c>
      <c r="M28" s="277" t="s">
        <v>325</v>
      </c>
      <c r="N28" s="277" t="s">
        <v>325</v>
      </c>
      <c r="R28" s="120">
        <v>0</v>
      </c>
      <c r="S28" s="121">
        <v>41592</v>
      </c>
      <c r="T28" s="122">
        <v>29</v>
      </c>
      <c r="U28" s="119" t="s">
        <v>327</v>
      </c>
      <c r="V28" s="272" t="s">
        <v>253</v>
      </c>
      <c r="W28" s="122">
        <v>106</v>
      </c>
      <c r="X28" s="120">
        <v>58.66</v>
      </c>
    </row>
    <row r="29" spans="1:24" s="31" customFormat="1" ht="13.5" customHeight="1">
      <c r="A29" s="270">
        <v>948810124</v>
      </c>
      <c r="B29" s="323" t="s">
        <v>323</v>
      </c>
      <c r="C29" s="119" t="s">
        <v>254</v>
      </c>
      <c r="D29" s="271" t="s">
        <v>325</v>
      </c>
      <c r="E29" s="119" t="s">
        <v>255</v>
      </c>
      <c r="F29" s="271" t="s">
        <v>325</v>
      </c>
      <c r="G29" s="120">
        <v>50.84</v>
      </c>
      <c r="H29" s="120">
        <v>0</v>
      </c>
      <c r="I29" s="341">
        <v>50.84</v>
      </c>
      <c r="J29" s="121">
        <v>41590</v>
      </c>
      <c r="K29" s="121">
        <v>41584</v>
      </c>
      <c r="L29" s="122">
        <v>29</v>
      </c>
      <c r="M29" s="272" t="s">
        <v>327</v>
      </c>
      <c r="N29" s="272" t="s">
        <v>256</v>
      </c>
      <c r="O29" s="122">
        <v>258</v>
      </c>
      <c r="R29" s="120">
        <v>50.84</v>
      </c>
      <c r="U29" s="271" t="s">
        <v>325</v>
      </c>
      <c r="V29" s="277" t="s">
        <v>325</v>
      </c>
      <c r="X29" s="120">
        <v>0</v>
      </c>
    </row>
    <row r="30" spans="1:24" s="31" customFormat="1" ht="13.5" customHeight="1">
      <c r="A30" s="270">
        <v>1028809119</v>
      </c>
      <c r="B30" s="323" t="s">
        <v>323</v>
      </c>
      <c r="C30" s="119" t="s">
        <v>257</v>
      </c>
      <c r="D30" s="271" t="s">
        <v>325</v>
      </c>
      <c r="E30" s="119" t="s">
        <v>255</v>
      </c>
      <c r="F30" s="271" t="s">
        <v>325</v>
      </c>
      <c r="G30" s="120">
        <v>20.62</v>
      </c>
      <c r="H30" s="120">
        <v>0</v>
      </c>
      <c r="I30" s="341">
        <v>20.62</v>
      </c>
      <c r="J30" s="121">
        <v>41590</v>
      </c>
      <c r="K30" s="121">
        <v>41585</v>
      </c>
      <c r="L30" s="122">
        <v>30</v>
      </c>
      <c r="M30" s="272" t="s">
        <v>327</v>
      </c>
      <c r="N30" s="272" t="s">
        <v>258</v>
      </c>
      <c r="O30" s="122">
        <v>0</v>
      </c>
      <c r="R30" s="120">
        <v>20.62</v>
      </c>
      <c r="U30" s="271" t="s">
        <v>325</v>
      </c>
      <c r="V30" s="277" t="s">
        <v>325</v>
      </c>
      <c r="X30" s="120">
        <v>0</v>
      </c>
    </row>
    <row r="31" spans="1:24" s="31" customFormat="1" ht="13.5" customHeight="1">
      <c r="A31" s="270">
        <v>1133133008</v>
      </c>
      <c r="B31" s="323" t="s">
        <v>323</v>
      </c>
      <c r="C31" s="119" t="s">
        <v>259</v>
      </c>
      <c r="D31" s="271" t="s">
        <v>325</v>
      </c>
      <c r="E31" s="119" t="s">
        <v>326</v>
      </c>
      <c r="F31" s="340" t="s">
        <v>325</v>
      </c>
      <c r="G31" s="120">
        <v>57.91</v>
      </c>
      <c r="H31" s="120">
        <f>G31-I31</f>
        <v>29.419999999999998</v>
      </c>
      <c r="I31" s="341">
        <v>28.49</v>
      </c>
      <c r="J31" s="121">
        <v>41583</v>
      </c>
      <c r="K31" s="121">
        <v>41578</v>
      </c>
      <c r="L31" s="122">
        <v>28</v>
      </c>
      <c r="M31" s="272" t="s">
        <v>327</v>
      </c>
      <c r="N31" s="272" t="s">
        <v>260</v>
      </c>
      <c r="O31" s="122">
        <v>142</v>
      </c>
      <c r="R31" s="120">
        <v>28.49</v>
      </c>
      <c r="U31" s="340" t="s">
        <v>325</v>
      </c>
      <c r="V31" s="342" t="s">
        <v>325</v>
      </c>
      <c r="X31" s="120">
        <v>0</v>
      </c>
    </row>
    <row r="32" spans="1:24" s="31" customFormat="1" ht="13.5" customHeight="1">
      <c r="A32" s="270">
        <v>1133819101</v>
      </c>
      <c r="B32" s="323" t="s">
        <v>323</v>
      </c>
      <c r="C32" s="119" t="s">
        <v>261</v>
      </c>
      <c r="D32" s="340" t="s">
        <v>325</v>
      </c>
      <c r="E32" s="119" t="s">
        <v>326</v>
      </c>
      <c r="F32" s="340" t="s">
        <v>325</v>
      </c>
      <c r="G32" s="120">
        <v>44.03</v>
      </c>
      <c r="H32" s="120">
        <f t="shared" ref="H32:H95" si="0">G32-I32</f>
        <v>0</v>
      </c>
      <c r="I32" s="341">
        <v>44.03</v>
      </c>
      <c r="J32" s="121">
        <v>41597</v>
      </c>
      <c r="K32" s="121">
        <v>41592</v>
      </c>
      <c r="L32" s="122">
        <v>29</v>
      </c>
      <c r="M32" s="272" t="s">
        <v>327</v>
      </c>
      <c r="N32" s="272" t="s">
        <v>262</v>
      </c>
      <c r="O32" s="122">
        <v>422</v>
      </c>
      <c r="R32" s="120">
        <v>44.03</v>
      </c>
      <c r="U32" s="340" t="s">
        <v>325</v>
      </c>
      <c r="V32" s="342" t="s">
        <v>325</v>
      </c>
      <c r="X32" s="120">
        <v>0</v>
      </c>
    </row>
    <row r="33" spans="1:24" s="31" customFormat="1" ht="13.5" customHeight="1">
      <c r="A33" s="270">
        <v>1193808115</v>
      </c>
      <c r="B33" s="323" t="s">
        <v>323</v>
      </c>
      <c r="C33" s="119" t="s">
        <v>263</v>
      </c>
      <c r="D33" s="340" t="s">
        <v>325</v>
      </c>
      <c r="E33" s="119" t="s">
        <v>326</v>
      </c>
      <c r="F33" s="340" t="s">
        <v>325</v>
      </c>
      <c r="G33" s="120">
        <v>37.36</v>
      </c>
      <c r="H33" s="120">
        <f t="shared" si="0"/>
        <v>0</v>
      </c>
      <c r="I33" s="341">
        <v>37.36</v>
      </c>
      <c r="J33" s="121">
        <v>41597</v>
      </c>
      <c r="K33" s="121">
        <v>41593</v>
      </c>
      <c r="L33" s="122">
        <v>28</v>
      </c>
      <c r="M33" s="272" t="s">
        <v>327</v>
      </c>
      <c r="N33" s="272" t="s">
        <v>264</v>
      </c>
      <c r="O33" s="122">
        <v>302</v>
      </c>
      <c r="R33" s="120">
        <v>37.36</v>
      </c>
      <c r="U33" s="340" t="s">
        <v>325</v>
      </c>
      <c r="V33" s="342" t="s">
        <v>325</v>
      </c>
      <c r="X33" s="120">
        <v>0</v>
      </c>
    </row>
    <row r="34" spans="1:24" s="31" customFormat="1" ht="13.5" customHeight="1">
      <c r="A34" s="270">
        <v>1492627005</v>
      </c>
      <c r="B34" s="323" t="s">
        <v>323</v>
      </c>
      <c r="C34" s="119" t="s">
        <v>265</v>
      </c>
      <c r="D34" s="340" t="s">
        <v>325</v>
      </c>
      <c r="E34" s="119" t="s">
        <v>326</v>
      </c>
      <c r="F34" s="340" t="s">
        <v>325</v>
      </c>
      <c r="G34" s="120">
        <v>25.49</v>
      </c>
      <c r="H34" s="120">
        <f t="shared" si="0"/>
        <v>0</v>
      </c>
      <c r="I34" s="341">
        <v>25.49</v>
      </c>
      <c r="J34" s="121">
        <v>41590</v>
      </c>
      <c r="K34" s="121">
        <v>41585</v>
      </c>
      <c r="L34" s="122">
        <v>30</v>
      </c>
      <c r="M34" s="272" t="s">
        <v>327</v>
      </c>
      <c r="N34" s="272" t="s">
        <v>266</v>
      </c>
      <c r="O34" s="122">
        <v>88</v>
      </c>
      <c r="R34" s="120">
        <v>25.49</v>
      </c>
      <c r="U34" s="340" t="s">
        <v>325</v>
      </c>
      <c r="V34" s="342" t="s">
        <v>325</v>
      </c>
      <c r="X34" s="120">
        <v>0</v>
      </c>
    </row>
    <row r="35" spans="1:24" s="31" customFormat="1" ht="13.5" customHeight="1">
      <c r="A35" s="270">
        <v>1513818115</v>
      </c>
      <c r="B35" s="323" t="s">
        <v>323</v>
      </c>
      <c r="C35" s="119" t="s">
        <v>267</v>
      </c>
      <c r="D35" s="340" t="s">
        <v>325</v>
      </c>
      <c r="E35" s="119" t="s">
        <v>326</v>
      </c>
      <c r="F35" s="340" t="s">
        <v>325</v>
      </c>
      <c r="G35" s="120">
        <v>29.11</v>
      </c>
      <c r="H35" s="120">
        <f t="shared" si="0"/>
        <v>0</v>
      </c>
      <c r="I35" s="341">
        <v>29.11</v>
      </c>
      <c r="J35" s="121">
        <v>41597</v>
      </c>
      <c r="K35" s="121">
        <v>41593</v>
      </c>
      <c r="L35" s="122">
        <v>30</v>
      </c>
      <c r="M35" s="272" t="s">
        <v>327</v>
      </c>
      <c r="N35" s="272" t="s">
        <v>268</v>
      </c>
      <c r="O35" s="122">
        <v>153</v>
      </c>
      <c r="R35" s="120">
        <v>29.11</v>
      </c>
      <c r="U35" s="340" t="s">
        <v>325</v>
      </c>
      <c r="V35" s="342" t="s">
        <v>325</v>
      </c>
      <c r="X35" s="120">
        <v>0</v>
      </c>
    </row>
    <row r="36" spans="1:24" s="31" customFormat="1" ht="13.5" customHeight="1">
      <c r="A36" s="270">
        <v>1608811106</v>
      </c>
      <c r="B36" s="323" t="s">
        <v>323</v>
      </c>
      <c r="C36" s="119" t="s">
        <v>337</v>
      </c>
      <c r="D36" s="340" t="s">
        <v>325</v>
      </c>
      <c r="E36" s="119" t="s">
        <v>332</v>
      </c>
      <c r="F36" s="340" t="s">
        <v>325</v>
      </c>
      <c r="G36" s="120">
        <v>569.66999999999996</v>
      </c>
      <c r="H36" s="120">
        <f t="shared" si="0"/>
        <v>0</v>
      </c>
      <c r="I36" s="341">
        <v>569.66999999999996</v>
      </c>
      <c r="J36" s="121">
        <v>41590</v>
      </c>
      <c r="K36" s="121">
        <v>41584</v>
      </c>
      <c r="L36" s="122">
        <v>29</v>
      </c>
      <c r="M36" s="272" t="s">
        <v>327</v>
      </c>
      <c r="N36" s="272" t="s">
        <v>111</v>
      </c>
      <c r="O36" s="122">
        <v>3040</v>
      </c>
      <c r="P36" s="122">
        <v>48.3</v>
      </c>
      <c r="Q36" s="122">
        <v>9.0430974988696122E-2</v>
      </c>
      <c r="R36" s="120">
        <v>569.66999999999996</v>
      </c>
      <c r="U36" s="340" t="s">
        <v>325</v>
      </c>
      <c r="V36" s="342" t="s">
        <v>325</v>
      </c>
      <c r="X36" s="120">
        <v>0</v>
      </c>
    </row>
    <row r="37" spans="1:24" s="31" customFormat="1" ht="13.5" customHeight="1">
      <c r="A37" s="270">
        <v>1653819107</v>
      </c>
      <c r="B37" s="323" t="s">
        <v>323</v>
      </c>
      <c r="C37" s="119" t="s">
        <v>270</v>
      </c>
      <c r="D37" s="340" t="s">
        <v>325</v>
      </c>
      <c r="E37" s="119" t="s">
        <v>326</v>
      </c>
      <c r="F37" s="340" t="s">
        <v>325</v>
      </c>
      <c r="G37" s="120">
        <v>65.66</v>
      </c>
      <c r="H37" s="120">
        <f t="shared" si="0"/>
        <v>0</v>
      </c>
      <c r="I37" s="341">
        <v>65.66</v>
      </c>
      <c r="J37" s="121">
        <v>41597</v>
      </c>
      <c r="K37" s="121">
        <v>41592</v>
      </c>
      <c r="L37" s="122">
        <v>29</v>
      </c>
      <c r="M37" s="272" t="s">
        <v>327</v>
      </c>
      <c r="N37" s="272" t="s">
        <v>271</v>
      </c>
      <c r="O37" s="122">
        <v>812</v>
      </c>
      <c r="R37" s="120">
        <v>65.66</v>
      </c>
      <c r="U37" s="340" t="s">
        <v>325</v>
      </c>
      <c r="V37" s="342" t="s">
        <v>325</v>
      </c>
      <c r="X37" s="120">
        <v>0</v>
      </c>
    </row>
    <row r="38" spans="1:24" s="31" customFormat="1" ht="13.5" customHeight="1">
      <c r="A38" s="270">
        <v>1833820108</v>
      </c>
      <c r="B38" s="323" t="s">
        <v>323</v>
      </c>
      <c r="C38" s="119" t="s">
        <v>272</v>
      </c>
      <c r="D38" s="340" t="s">
        <v>325</v>
      </c>
      <c r="E38" s="119" t="s">
        <v>326</v>
      </c>
      <c r="F38" s="340" t="s">
        <v>325</v>
      </c>
      <c r="G38" s="120">
        <v>66.430000000000007</v>
      </c>
      <c r="H38" s="120">
        <f t="shared" si="0"/>
        <v>0</v>
      </c>
      <c r="I38" s="341">
        <v>66.430000000000007</v>
      </c>
      <c r="J38" s="121">
        <v>41597</v>
      </c>
      <c r="K38" s="121">
        <v>41592</v>
      </c>
      <c r="L38" s="122">
        <v>29</v>
      </c>
      <c r="M38" s="272" t="s">
        <v>327</v>
      </c>
      <c r="N38" s="272" t="s">
        <v>273</v>
      </c>
      <c r="O38" s="122">
        <v>826</v>
      </c>
      <c r="R38" s="120">
        <v>66.430000000000007</v>
      </c>
      <c r="U38" s="340" t="s">
        <v>325</v>
      </c>
      <c r="V38" s="342" t="s">
        <v>325</v>
      </c>
      <c r="X38" s="120">
        <v>0</v>
      </c>
    </row>
    <row r="39" spans="1:24" s="31" customFormat="1" ht="13.5" customHeight="1">
      <c r="A39" s="270">
        <v>1851009009</v>
      </c>
      <c r="B39" s="323" t="s">
        <v>323</v>
      </c>
      <c r="C39" s="119" t="s">
        <v>274</v>
      </c>
      <c r="D39" s="340" t="s">
        <v>325</v>
      </c>
      <c r="E39" s="119" t="s">
        <v>326</v>
      </c>
      <c r="F39" s="340" t="s">
        <v>325</v>
      </c>
      <c r="G39" s="120">
        <v>43.44</v>
      </c>
      <c r="H39" s="120">
        <f t="shared" si="0"/>
        <v>0</v>
      </c>
      <c r="I39" s="341">
        <v>43.44</v>
      </c>
      <c r="J39" s="121">
        <v>41597</v>
      </c>
      <c r="K39" s="121">
        <v>41592</v>
      </c>
      <c r="L39" s="122">
        <v>29</v>
      </c>
      <c r="M39" s="272" t="s">
        <v>327</v>
      </c>
      <c r="N39" s="272" t="s">
        <v>275</v>
      </c>
      <c r="O39" s="122">
        <v>411</v>
      </c>
      <c r="R39" s="120">
        <v>43.44</v>
      </c>
      <c r="U39" s="340" t="s">
        <v>325</v>
      </c>
      <c r="V39" s="342" t="s">
        <v>325</v>
      </c>
      <c r="X39" s="120">
        <v>0</v>
      </c>
    </row>
    <row r="40" spans="1:24" s="31" customFormat="1" ht="13.5" customHeight="1">
      <c r="A40" s="270">
        <v>1933810131</v>
      </c>
      <c r="B40" s="323" t="s">
        <v>323</v>
      </c>
      <c r="C40" s="119" t="s">
        <v>276</v>
      </c>
      <c r="D40" s="340" t="s">
        <v>325</v>
      </c>
      <c r="E40" s="119" t="s">
        <v>332</v>
      </c>
      <c r="F40" s="119" t="s">
        <v>277</v>
      </c>
      <c r="G40" s="120">
        <v>248.23</v>
      </c>
      <c r="H40" s="120">
        <f t="shared" si="0"/>
        <v>0</v>
      </c>
      <c r="I40" s="341">
        <v>248.23</v>
      </c>
      <c r="J40" s="121">
        <v>41597</v>
      </c>
      <c r="K40" s="121">
        <v>41592</v>
      </c>
      <c r="L40" s="122">
        <v>29</v>
      </c>
      <c r="M40" s="272" t="s">
        <v>327</v>
      </c>
      <c r="N40" s="272" t="s">
        <v>278</v>
      </c>
      <c r="O40" s="122">
        <v>399</v>
      </c>
      <c r="P40" s="122">
        <v>4.8</v>
      </c>
      <c r="Q40" s="122">
        <v>0.11943247126436782</v>
      </c>
      <c r="R40" s="120">
        <v>103.94</v>
      </c>
      <c r="S40" s="121">
        <v>41592</v>
      </c>
      <c r="T40" s="122">
        <v>29</v>
      </c>
      <c r="U40" s="119" t="s">
        <v>327</v>
      </c>
      <c r="V40" s="272" t="s">
        <v>279</v>
      </c>
      <c r="W40" s="122">
        <v>153</v>
      </c>
      <c r="X40" s="120">
        <v>144.29</v>
      </c>
    </row>
    <row r="41" spans="1:24" s="31" customFormat="1" ht="13.5" customHeight="1">
      <c r="A41" s="270">
        <v>2133819102</v>
      </c>
      <c r="B41" s="323" t="s">
        <v>323</v>
      </c>
      <c r="C41" s="119" t="s">
        <v>280</v>
      </c>
      <c r="D41" s="340" t="s">
        <v>325</v>
      </c>
      <c r="E41" s="119" t="s">
        <v>332</v>
      </c>
      <c r="F41" s="340" t="s">
        <v>325</v>
      </c>
      <c r="G41" s="120">
        <v>254.19</v>
      </c>
      <c r="H41" s="120">
        <f t="shared" si="0"/>
        <v>0</v>
      </c>
      <c r="I41" s="341">
        <v>254.19</v>
      </c>
      <c r="J41" s="121">
        <v>41597</v>
      </c>
      <c r="K41" s="121">
        <v>41592</v>
      </c>
      <c r="L41" s="122">
        <v>29</v>
      </c>
      <c r="M41" s="272" t="s">
        <v>327</v>
      </c>
      <c r="N41" s="272" t="s">
        <v>112</v>
      </c>
      <c r="O41" s="122">
        <v>1340</v>
      </c>
      <c r="P41" s="122">
        <v>18.8</v>
      </c>
      <c r="Q41" s="122">
        <v>0.10240890193201273</v>
      </c>
      <c r="R41" s="120">
        <v>254.19</v>
      </c>
      <c r="U41" s="340" t="s">
        <v>325</v>
      </c>
      <c r="V41" s="342" t="s">
        <v>325</v>
      </c>
      <c r="X41" s="120">
        <v>0</v>
      </c>
    </row>
    <row r="42" spans="1:24" s="31" customFormat="1" ht="13.5" customHeight="1">
      <c r="A42" s="270">
        <v>2133821120</v>
      </c>
      <c r="B42" s="323" t="s">
        <v>323</v>
      </c>
      <c r="C42" s="119" t="s">
        <v>194</v>
      </c>
      <c r="D42" s="340" t="s">
        <v>325</v>
      </c>
      <c r="E42" s="119" t="s">
        <v>326</v>
      </c>
      <c r="F42" s="340" t="s">
        <v>325</v>
      </c>
      <c r="G42" s="120">
        <v>30.29</v>
      </c>
      <c r="H42" s="120">
        <f t="shared" si="0"/>
        <v>0</v>
      </c>
      <c r="I42" s="341">
        <v>30.29</v>
      </c>
      <c r="J42" s="121">
        <v>41597</v>
      </c>
      <c r="K42" s="121">
        <v>41592</v>
      </c>
      <c r="L42" s="122">
        <v>24</v>
      </c>
      <c r="M42" s="272" t="s">
        <v>327</v>
      </c>
      <c r="N42" s="272" t="s">
        <v>75</v>
      </c>
      <c r="O42" s="122">
        <v>250</v>
      </c>
      <c r="R42" s="120">
        <v>30.29</v>
      </c>
      <c r="U42" s="340" t="s">
        <v>325</v>
      </c>
      <c r="V42" s="342" t="s">
        <v>325</v>
      </c>
      <c r="X42" s="120">
        <v>0</v>
      </c>
    </row>
    <row r="43" spans="1:24" s="31" customFormat="1" ht="13.5" customHeight="1">
      <c r="A43" s="270">
        <v>2137454018</v>
      </c>
      <c r="B43" s="323" t="s">
        <v>323</v>
      </c>
      <c r="C43" s="119" t="s">
        <v>196</v>
      </c>
      <c r="D43" s="340" t="s">
        <v>325</v>
      </c>
      <c r="E43" s="119" t="s">
        <v>255</v>
      </c>
      <c r="F43" s="340" t="s">
        <v>325</v>
      </c>
      <c r="G43" s="120">
        <v>21.2</v>
      </c>
      <c r="H43" s="120">
        <f t="shared" si="0"/>
        <v>0</v>
      </c>
      <c r="I43" s="341">
        <v>21.2</v>
      </c>
      <c r="J43" s="121">
        <v>41597</v>
      </c>
      <c r="K43" s="121">
        <v>41592</v>
      </c>
      <c r="L43" s="122">
        <v>29</v>
      </c>
      <c r="M43" s="272" t="s">
        <v>327</v>
      </c>
      <c r="N43" s="272" t="s">
        <v>197</v>
      </c>
      <c r="O43" s="122">
        <v>5</v>
      </c>
      <c r="R43" s="120">
        <v>21.2</v>
      </c>
      <c r="U43" s="340" t="s">
        <v>325</v>
      </c>
      <c r="V43" s="342" t="s">
        <v>325</v>
      </c>
      <c r="X43" s="120">
        <v>0</v>
      </c>
    </row>
    <row r="44" spans="1:24" s="31" customFormat="1" ht="13.5" customHeight="1">
      <c r="A44" s="270">
        <v>2217686007</v>
      </c>
      <c r="B44" s="323" t="s">
        <v>323</v>
      </c>
      <c r="C44" s="119" t="s">
        <v>198</v>
      </c>
      <c r="D44" s="340" t="s">
        <v>325</v>
      </c>
      <c r="E44" s="119" t="s">
        <v>255</v>
      </c>
      <c r="F44" s="340" t="s">
        <v>325</v>
      </c>
      <c r="G44" s="120">
        <v>51.45</v>
      </c>
      <c r="H44" s="120">
        <f t="shared" si="0"/>
        <v>0</v>
      </c>
      <c r="I44" s="341">
        <v>51.45</v>
      </c>
      <c r="J44" s="121">
        <v>41597</v>
      </c>
      <c r="K44" s="121">
        <v>41592</v>
      </c>
      <c r="L44" s="122">
        <v>29</v>
      </c>
      <c r="M44" s="272" t="s">
        <v>327</v>
      </c>
      <c r="N44" s="272" t="s">
        <v>199</v>
      </c>
      <c r="O44" s="122">
        <v>257</v>
      </c>
      <c r="R44" s="120">
        <v>51.45</v>
      </c>
      <c r="U44" s="340" t="s">
        <v>325</v>
      </c>
      <c r="V44" s="342" t="s">
        <v>325</v>
      </c>
      <c r="X44" s="120">
        <v>0</v>
      </c>
    </row>
    <row r="45" spans="1:24" s="31" customFormat="1" ht="13.5" customHeight="1">
      <c r="A45" s="270">
        <v>2480127108</v>
      </c>
      <c r="B45" s="323" t="s">
        <v>323</v>
      </c>
      <c r="C45" s="119" t="s">
        <v>200</v>
      </c>
      <c r="D45" s="340" t="s">
        <v>325</v>
      </c>
      <c r="E45" s="119" t="s">
        <v>201</v>
      </c>
      <c r="F45" s="340" t="s">
        <v>325</v>
      </c>
      <c r="G45" s="120">
        <v>88.24</v>
      </c>
      <c r="H45" s="120">
        <f t="shared" si="0"/>
        <v>44.76</v>
      </c>
      <c r="I45" s="341">
        <v>43.48</v>
      </c>
      <c r="J45" s="121">
        <v>41577</v>
      </c>
      <c r="K45" s="121">
        <v>41577</v>
      </c>
      <c r="L45" s="122">
        <v>29</v>
      </c>
      <c r="M45" s="272" t="s">
        <v>327</v>
      </c>
      <c r="N45" s="342" t="s">
        <v>325</v>
      </c>
      <c r="O45" s="122">
        <v>332</v>
      </c>
      <c r="R45" s="120">
        <v>43.48</v>
      </c>
      <c r="U45" s="340" t="s">
        <v>325</v>
      </c>
      <c r="V45" s="342" t="s">
        <v>325</v>
      </c>
      <c r="X45" s="120">
        <v>0</v>
      </c>
    </row>
    <row r="46" spans="1:24" s="31" customFormat="1" ht="13.5" customHeight="1">
      <c r="A46" s="270">
        <v>2533809113</v>
      </c>
      <c r="B46" s="323" t="s">
        <v>323</v>
      </c>
      <c r="C46" s="119" t="s">
        <v>202</v>
      </c>
      <c r="D46" s="340" t="s">
        <v>325</v>
      </c>
      <c r="E46" s="119" t="s">
        <v>326</v>
      </c>
      <c r="F46" s="119" t="s">
        <v>277</v>
      </c>
      <c r="G46" s="120">
        <v>99</v>
      </c>
      <c r="H46" s="120">
        <f t="shared" si="0"/>
        <v>0</v>
      </c>
      <c r="I46" s="341">
        <v>99</v>
      </c>
      <c r="J46" s="121">
        <v>41597</v>
      </c>
      <c r="K46" s="121">
        <v>41592</v>
      </c>
      <c r="L46" s="122">
        <v>29</v>
      </c>
      <c r="M46" s="272" t="s">
        <v>327</v>
      </c>
      <c r="N46" s="272" t="s">
        <v>116</v>
      </c>
      <c r="O46" s="122">
        <v>959</v>
      </c>
      <c r="R46" s="120">
        <v>73.81</v>
      </c>
      <c r="S46" s="121">
        <v>41592</v>
      </c>
      <c r="T46" s="122">
        <v>29</v>
      </c>
      <c r="U46" s="119" t="s">
        <v>327</v>
      </c>
      <c r="V46" s="272" t="s">
        <v>204</v>
      </c>
      <c r="W46" s="122">
        <v>2</v>
      </c>
      <c r="X46" s="120">
        <v>25.19</v>
      </c>
    </row>
    <row r="47" spans="1:24" s="31" customFormat="1" ht="13.5" customHeight="1">
      <c r="A47" s="270">
        <v>2693810107</v>
      </c>
      <c r="B47" s="323" t="s">
        <v>323</v>
      </c>
      <c r="C47" s="119" t="s">
        <v>205</v>
      </c>
      <c r="D47" s="340" t="s">
        <v>325</v>
      </c>
      <c r="E47" s="119" t="s">
        <v>332</v>
      </c>
      <c r="F47" s="340" t="s">
        <v>325</v>
      </c>
      <c r="G47" s="120">
        <v>861.55</v>
      </c>
      <c r="H47" s="120">
        <f t="shared" si="0"/>
        <v>861.55</v>
      </c>
      <c r="I47" s="341">
        <v>0</v>
      </c>
      <c r="J47" s="121">
        <v>41568</v>
      </c>
      <c r="K47" s="121">
        <v>41563</v>
      </c>
      <c r="L47" s="122">
        <v>29</v>
      </c>
      <c r="M47" s="272" t="s">
        <v>327</v>
      </c>
      <c r="N47" s="272" t="s">
        <v>206</v>
      </c>
      <c r="O47" s="122">
        <v>2200</v>
      </c>
      <c r="P47" s="122">
        <v>0</v>
      </c>
      <c r="R47" s="120">
        <v>71.459999999999994</v>
      </c>
      <c r="U47" s="340" t="s">
        <v>325</v>
      </c>
      <c r="V47" s="342" t="s">
        <v>325</v>
      </c>
      <c r="X47" s="120">
        <v>0</v>
      </c>
    </row>
    <row r="48" spans="1:24" s="31" customFormat="1" ht="13.5" customHeight="1">
      <c r="A48" s="270">
        <v>2703112003</v>
      </c>
      <c r="B48" s="323" t="s">
        <v>323</v>
      </c>
      <c r="C48" s="119" t="s">
        <v>207</v>
      </c>
      <c r="D48" s="340" t="s">
        <v>325</v>
      </c>
      <c r="E48" s="119" t="s">
        <v>332</v>
      </c>
      <c r="F48" s="340" t="s">
        <v>325</v>
      </c>
      <c r="G48" s="120">
        <v>808.56</v>
      </c>
      <c r="H48" s="120">
        <f t="shared" si="0"/>
        <v>0</v>
      </c>
      <c r="I48" s="341">
        <v>808.56</v>
      </c>
      <c r="J48" s="121">
        <v>41590</v>
      </c>
      <c r="K48" s="121">
        <v>41584</v>
      </c>
      <c r="L48" s="122">
        <v>29</v>
      </c>
      <c r="M48" s="272" t="s">
        <v>327</v>
      </c>
      <c r="N48" s="272" t="s">
        <v>208</v>
      </c>
      <c r="O48" s="122">
        <v>2548</v>
      </c>
      <c r="P48" s="122">
        <v>71.3</v>
      </c>
      <c r="Q48" s="122">
        <v>5.1345295094388295E-2</v>
      </c>
      <c r="R48" s="120">
        <v>808.56</v>
      </c>
      <c r="U48" s="340" t="s">
        <v>325</v>
      </c>
      <c r="V48" s="342" t="s">
        <v>325</v>
      </c>
      <c r="X48" s="120">
        <v>0</v>
      </c>
    </row>
    <row r="49" spans="1:24" s="31" customFormat="1" ht="13.5" customHeight="1">
      <c r="A49" s="270">
        <v>2773821106</v>
      </c>
      <c r="B49" s="323" t="s">
        <v>323</v>
      </c>
      <c r="C49" s="119" t="s">
        <v>209</v>
      </c>
      <c r="D49" s="340" t="s">
        <v>325</v>
      </c>
      <c r="E49" s="119" t="s">
        <v>255</v>
      </c>
      <c r="F49" s="340" t="s">
        <v>325</v>
      </c>
      <c r="G49" s="120">
        <v>0</v>
      </c>
      <c r="H49" s="120">
        <f t="shared" si="0"/>
        <v>0</v>
      </c>
      <c r="I49" s="341">
        <v>0</v>
      </c>
      <c r="J49" s="121">
        <v>41597</v>
      </c>
      <c r="K49" s="121">
        <v>41592</v>
      </c>
      <c r="L49" s="122">
        <v>27</v>
      </c>
      <c r="M49" s="272" t="s">
        <v>327</v>
      </c>
      <c r="N49" s="272" t="s">
        <v>210</v>
      </c>
      <c r="O49" s="122">
        <v>0</v>
      </c>
      <c r="R49" s="120">
        <v>20.62</v>
      </c>
      <c r="U49" s="340" t="s">
        <v>325</v>
      </c>
      <c r="V49" s="342" t="s">
        <v>325</v>
      </c>
      <c r="X49" s="120">
        <v>0</v>
      </c>
    </row>
    <row r="50" spans="1:24" s="31" customFormat="1" ht="13.5" customHeight="1">
      <c r="A50" s="270">
        <v>2856106004</v>
      </c>
      <c r="B50" s="323" t="s">
        <v>323</v>
      </c>
      <c r="C50" s="119" t="s">
        <v>211</v>
      </c>
      <c r="D50" s="340" t="s">
        <v>325</v>
      </c>
      <c r="E50" s="340" t="s">
        <v>325</v>
      </c>
      <c r="F50" s="119" t="s">
        <v>335</v>
      </c>
      <c r="G50" s="120">
        <v>25.36</v>
      </c>
      <c r="H50" s="120">
        <f t="shared" si="0"/>
        <v>0</v>
      </c>
      <c r="I50" s="341">
        <v>25.36</v>
      </c>
      <c r="J50" s="121">
        <v>41590</v>
      </c>
      <c r="M50" s="342" t="s">
        <v>325</v>
      </c>
      <c r="N50" s="342" t="s">
        <v>325</v>
      </c>
      <c r="R50" s="120">
        <v>0</v>
      </c>
      <c r="S50" s="121">
        <v>41585</v>
      </c>
      <c r="T50" s="122">
        <v>30</v>
      </c>
      <c r="U50" s="119" t="s">
        <v>327</v>
      </c>
      <c r="V50" s="272" t="s">
        <v>212</v>
      </c>
      <c r="W50" s="122">
        <v>7</v>
      </c>
      <c r="X50" s="120">
        <v>25.36</v>
      </c>
    </row>
    <row r="51" spans="1:24" s="31" customFormat="1" ht="13.5" customHeight="1">
      <c r="A51" s="270">
        <v>2860127100</v>
      </c>
      <c r="B51" s="323" t="s">
        <v>323</v>
      </c>
      <c r="C51" s="119" t="s">
        <v>213</v>
      </c>
      <c r="D51" s="340" t="s">
        <v>325</v>
      </c>
      <c r="E51" s="119" t="s">
        <v>201</v>
      </c>
      <c r="F51" s="340" t="s">
        <v>325</v>
      </c>
      <c r="G51" s="120">
        <v>109.17</v>
      </c>
      <c r="H51" s="120">
        <f t="shared" si="0"/>
        <v>55.18</v>
      </c>
      <c r="I51" s="341">
        <v>53.99</v>
      </c>
      <c r="J51" s="121">
        <v>41577</v>
      </c>
      <c r="K51" s="121">
        <v>41577</v>
      </c>
      <c r="L51" s="122">
        <v>29</v>
      </c>
      <c r="M51" s="272" t="s">
        <v>327</v>
      </c>
      <c r="N51" s="342" t="s">
        <v>325</v>
      </c>
      <c r="O51" s="122">
        <v>312</v>
      </c>
      <c r="R51" s="120">
        <v>53.99</v>
      </c>
      <c r="U51" s="340" t="s">
        <v>325</v>
      </c>
      <c r="V51" s="342" t="s">
        <v>325</v>
      </c>
      <c r="X51" s="120">
        <v>0</v>
      </c>
    </row>
    <row r="52" spans="1:24" s="31" customFormat="1" ht="13.5" customHeight="1">
      <c r="A52" s="270">
        <v>3040127109</v>
      </c>
      <c r="B52" s="323" t="s">
        <v>323</v>
      </c>
      <c r="C52" s="119" t="s">
        <v>214</v>
      </c>
      <c r="D52" s="340" t="s">
        <v>325</v>
      </c>
      <c r="E52" s="119" t="s">
        <v>201</v>
      </c>
      <c r="F52" s="340" t="s">
        <v>325</v>
      </c>
      <c r="G52" s="120">
        <v>112.51</v>
      </c>
      <c r="H52" s="120">
        <f t="shared" si="0"/>
        <v>56.900000000000006</v>
      </c>
      <c r="I52" s="341">
        <v>55.61</v>
      </c>
      <c r="J52" s="121">
        <v>41577</v>
      </c>
      <c r="K52" s="121">
        <v>41577</v>
      </c>
      <c r="L52" s="122">
        <v>29</v>
      </c>
      <c r="M52" s="272" t="s">
        <v>327</v>
      </c>
      <c r="N52" s="342" t="s">
        <v>325</v>
      </c>
      <c r="O52" s="122">
        <v>326</v>
      </c>
      <c r="R52" s="120">
        <v>55.61</v>
      </c>
      <c r="U52" s="340" t="s">
        <v>325</v>
      </c>
      <c r="V52" s="342" t="s">
        <v>325</v>
      </c>
      <c r="X52" s="120">
        <v>0</v>
      </c>
    </row>
    <row r="53" spans="1:24" s="31" customFormat="1" ht="13.5" customHeight="1">
      <c r="A53" s="270">
        <v>3128810107</v>
      </c>
      <c r="B53" s="323" t="s">
        <v>323</v>
      </c>
      <c r="C53" s="119" t="s">
        <v>215</v>
      </c>
      <c r="D53" s="340" t="s">
        <v>325</v>
      </c>
      <c r="E53" s="119" t="s">
        <v>326</v>
      </c>
      <c r="F53" s="340" t="s">
        <v>325</v>
      </c>
      <c r="G53" s="120">
        <v>20.89</v>
      </c>
      <c r="H53" s="120">
        <f t="shared" si="0"/>
        <v>0</v>
      </c>
      <c r="I53" s="341">
        <v>20.89</v>
      </c>
      <c r="J53" s="121">
        <v>41590</v>
      </c>
      <c r="K53" s="121">
        <v>41585</v>
      </c>
      <c r="L53" s="122">
        <v>30</v>
      </c>
      <c r="M53" s="272" t="s">
        <v>327</v>
      </c>
      <c r="N53" s="272" t="s">
        <v>216</v>
      </c>
      <c r="O53" s="122">
        <v>5</v>
      </c>
      <c r="R53" s="120">
        <v>20.89</v>
      </c>
      <c r="U53" s="340" t="s">
        <v>325</v>
      </c>
      <c r="V53" s="342" t="s">
        <v>325</v>
      </c>
      <c r="X53" s="120">
        <v>0</v>
      </c>
    </row>
    <row r="54" spans="1:24" s="31" customFormat="1" ht="13.5" customHeight="1">
      <c r="A54" s="270">
        <v>3195056004</v>
      </c>
      <c r="B54" s="323" t="s">
        <v>323</v>
      </c>
      <c r="C54" s="119" t="s">
        <v>217</v>
      </c>
      <c r="D54" s="340" t="s">
        <v>325</v>
      </c>
      <c r="E54" s="119" t="s">
        <v>326</v>
      </c>
      <c r="F54" s="340" t="s">
        <v>325</v>
      </c>
      <c r="G54" s="120">
        <v>21.32</v>
      </c>
      <c r="H54" s="120">
        <f t="shared" si="0"/>
        <v>0</v>
      </c>
      <c r="I54" s="341">
        <v>21.32</v>
      </c>
      <c r="J54" s="121">
        <v>41597</v>
      </c>
      <c r="K54" s="121">
        <v>41592</v>
      </c>
      <c r="L54" s="122">
        <v>29</v>
      </c>
      <c r="M54" s="272" t="s">
        <v>327</v>
      </c>
      <c r="N54" s="272" t="s">
        <v>218</v>
      </c>
      <c r="O54" s="122">
        <v>13</v>
      </c>
      <c r="R54" s="120">
        <v>21.32</v>
      </c>
      <c r="U54" s="340" t="s">
        <v>325</v>
      </c>
      <c r="V54" s="342" t="s">
        <v>325</v>
      </c>
      <c r="X54" s="120">
        <v>0</v>
      </c>
    </row>
    <row r="55" spans="1:24" s="31" customFormat="1" ht="13.5" customHeight="1">
      <c r="A55" s="270">
        <v>3273812135</v>
      </c>
      <c r="B55" s="323" t="s">
        <v>323</v>
      </c>
      <c r="C55" s="119" t="s">
        <v>219</v>
      </c>
      <c r="D55" s="340" t="s">
        <v>325</v>
      </c>
      <c r="E55" s="119" t="s">
        <v>326</v>
      </c>
      <c r="F55" s="119" t="s">
        <v>277</v>
      </c>
      <c r="G55" s="120">
        <v>100.07</v>
      </c>
      <c r="H55" s="120">
        <f t="shared" si="0"/>
        <v>0</v>
      </c>
      <c r="I55" s="341">
        <v>100.07</v>
      </c>
      <c r="J55" s="121">
        <v>41597</v>
      </c>
      <c r="K55" s="121">
        <v>41592</v>
      </c>
      <c r="L55" s="122">
        <v>29</v>
      </c>
      <c r="M55" s="272" t="s">
        <v>327</v>
      </c>
      <c r="N55" s="272" t="s">
        <v>125</v>
      </c>
      <c r="O55" s="122">
        <v>978</v>
      </c>
      <c r="R55" s="120">
        <v>74.88</v>
      </c>
      <c r="S55" s="121">
        <v>41592</v>
      </c>
      <c r="T55" s="122">
        <v>29</v>
      </c>
      <c r="U55" s="119" t="s">
        <v>327</v>
      </c>
      <c r="V55" s="272" t="s">
        <v>221</v>
      </c>
      <c r="W55" s="122">
        <v>2</v>
      </c>
      <c r="X55" s="120">
        <v>25.19</v>
      </c>
    </row>
    <row r="56" spans="1:24" s="31" customFormat="1" ht="13.5" customHeight="1">
      <c r="A56" s="270">
        <v>3293820115</v>
      </c>
      <c r="B56" s="323" t="s">
        <v>323</v>
      </c>
      <c r="C56" s="119" t="s">
        <v>222</v>
      </c>
      <c r="D56" s="340" t="s">
        <v>325</v>
      </c>
      <c r="E56" s="340" t="s">
        <v>325</v>
      </c>
      <c r="F56" s="119" t="s">
        <v>335</v>
      </c>
      <c r="G56" s="120">
        <v>24.93</v>
      </c>
      <c r="H56" s="120">
        <f t="shared" si="0"/>
        <v>0</v>
      </c>
      <c r="I56" s="341">
        <v>24.93</v>
      </c>
      <c r="J56" s="121">
        <v>41597</v>
      </c>
      <c r="M56" s="342" t="s">
        <v>325</v>
      </c>
      <c r="N56" s="342" t="s">
        <v>325</v>
      </c>
      <c r="R56" s="120">
        <v>0</v>
      </c>
      <c r="S56" s="121">
        <v>41592</v>
      </c>
      <c r="T56" s="122">
        <v>29</v>
      </c>
      <c r="U56" s="119" t="s">
        <v>327</v>
      </c>
      <c r="V56" s="272" t="s">
        <v>223</v>
      </c>
      <c r="W56" s="122">
        <v>6</v>
      </c>
      <c r="X56" s="120">
        <v>24.93</v>
      </c>
    </row>
    <row r="57" spans="1:24" s="31" customFormat="1" ht="13.5" customHeight="1">
      <c r="A57" s="270">
        <v>3448808118</v>
      </c>
      <c r="B57" s="323" t="s">
        <v>323</v>
      </c>
      <c r="C57" s="119" t="s">
        <v>224</v>
      </c>
      <c r="D57" s="340" t="s">
        <v>325</v>
      </c>
      <c r="E57" s="119" t="s">
        <v>326</v>
      </c>
      <c r="F57" s="340" t="s">
        <v>325</v>
      </c>
      <c r="G57" s="120">
        <v>58.51</v>
      </c>
      <c r="H57" s="120">
        <f t="shared" si="0"/>
        <v>0</v>
      </c>
      <c r="I57" s="341">
        <v>58.51</v>
      </c>
      <c r="J57" s="121">
        <v>41590</v>
      </c>
      <c r="K57" s="121">
        <v>41585</v>
      </c>
      <c r="L57" s="122">
        <v>30</v>
      </c>
      <c r="M57" s="272" t="s">
        <v>327</v>
      </c>
      <c r="N57" s="272" t="s">
        <v>126</v>
      </c>
      <c r="O57" s="122">
        <v>683</v>
      </c>
      <c r="R57" s="120">
        <v>58.51</v>
      </c>
      <c r="U57" s="340" t="s">
        <v>325</v>
      </c>
      <c r="V57" s="342" t="s">
        <v>325</v>
      </c>
      <c r="X57" s="120">
        <v>0</v>
      </c>
    </row>
    <row r="58" spans="1:24" s="31" customFormat="1" ht="13.5" customHeight="1">
      <c r="A58" s="270">
        <v>3632395006</v>
      </c>
      <c r="B58" s="323" t="s">
        <v>323</v>
      </c>
      <c r="C58" s="119" t="s">
        <v>226</v>
      </c>
      <c r="D58" s="340" t="s">
        <v>325</v>
      </c>
      <c r="E58" s="119" t="s">
        <v>326</v>
      </c>
      <c r="F58" s="340" t="s">
        <v>325</v>
      </c>
      <c r="G58" s="120">
        <v>21.12</v>
      </c>
      <c r="H58" s="120">
        <f t="shared" si="0"/>
        <v>0</v>
      </c>
      <c r="I58" s="341">
        <v>21.12</v>
      </c>
      <c r="J58" s="121">
        <v>41590</v>
      </c>
      <c r="K58" s="121">
        <v>41585</v>
      </c>
      <c r="L58" s="122">
        <v>30</v>
      </c>
      <c r="M58" s="272" t="s">
        <v>327</v>
      </c>
      <c r="N58" s="272" t="s">
        <v>227</v>
      </c>
      <c r="O58" s="122">
        <v>9</v>
      </c>
      <c r="R58" s="120">
        <v>21.12</v>
      </c>
      <c r="U58" s="340" t="s">
        <v>325</v>
      </c>
      <c r="V58" s="342" t="s">
        <v>325</v>
      </c>
      <c r="X58" s="120">
        <v>0</v>
      </c>
    </row>
    <row r="59" spans="1:24" s="31" customFormat="1" ht="13.5" customHeight="1">
      <c r="A59" s="270">
        <v>3753663109</v>
      </c>
      <c r="B59" s="323" t="s">
        <v>323</v>
      </c>
      <c r="C59" s="119" t="s">
        <v>228</v>
      </c>
      <c r="D59" s="340" t="s">
        <v>325</v>
      </c>
      <c r="E59" s="119" t="s">
        <v>330</v>
      </c>
      <c r="F59" s="340" t="s">
        <v>325</v>
      </c>
      <c r="G59" s="120">
        <v>205.49</v>
      </c>
      <c r="H59" s="120">
        <f t="shared" si="0"/>
        <v>0</v>
      </c>
      <c r="I59" s="341">
        <v>205.49</v>
      </c>
      <c r="J59" s="121">
        <v>41597</v>
      </c>
      <c r="K59" s="121">
        <v>41597</v>
      </c>
      <c r="L59" s="122">
        <v>29</v>
      </c>
      <c r="M59" s="272" t="s">
        <v>327</v>
      </c>
      <c r="N59" s="342" t="s">
        <v>325</v>
      </c>
      <c r="O59" s="122">
        <v>203</v>
      </c>
      <c r="R59" s="120">
        <v>205.49</v>
      </c>
      <c r="U59" s="340" t="s">
        <v>325</v>
      </c>
      <c r="V59" s="342" t="s">
        <v>325</v>
      </c>
      <c r="X59" s="120">
        <v>0</v>
      </c>
    </row>
    <row r="60" spans="1:24" s="31" customFormat="1" ht="13.5" customHeight="1">
      <c r="A60" s="270">
        <v>3798043001</v>
      </c>
      <c r="B60" s="323" t="s">
        <v>323</v>
      </c>
      <c r="C60" s="119" t="s">
        <v>229</v>
      </c>
      <c r="D60" s="340" t="s">
        <v>325</v>
      </c>
      <c r="E60" s="119" t="s">
        <v>255</v>
      </c>
      <c r="F60" s="340" t="s">
        <v>325</v>
      </c>
      <c r="G60" s="120">
        <v>43.31</v>
      </c>
      <c r="H60" s="120">
        <f t="shared" si="0"/>
        <v>21.6</v>
      </c>
      <c r="I60" s="341">
        <v>21.71</v>
      </c>
      <c r="J60" s="121">
        <v>41569</v>
      </c>
      <c r="K60" s="121">
        <v>41565</v>
      </c>
      <c r="L60" s="122">
        <v>30</v>
      </c>
      <c r="M60" s="272" t="s">
        <v>327</v>
      </c>
      <c r="N60" s="272" t="s">
        <v>230</v>
      </c>
      <c r="O60" s="122">
        <v>8</v>
      </c>
      <c r="R60" s="120">
        <v>21.71</v>
      </c>
      <c r="U60" s="340" t="s">
        <v>325</v>
      </c>
      <c r="V60" s="342" t="s">
        <v>325</v>
      </c>
      <c r="X60" s="120">
        <v>0</v>
      </c>
    </row>
    <row r="61" spans="1:24" s="31" customFormat="1" ht="13.5" customHeight="1">
      <c r="A61" s="270">
        <v>3908811104</v>
      </c>
      <c r="B61" s="323" t="s">
        <v>323</v>
      </c>
      <c r="C61" s="119" t="s">
        <v>231</v>
      </c>
      <c r="D61" s="340" t="s">
        <v>325</v>
      </c>
      <c r="E61" s="119" t="s">
        <v>326</v>
      </c>
      <c r="F61" s="340" t="s">
        <v>325</v>
      </c>
      <c r="G61" s="120">
        <v>54.92</v>
      </c>
      <c r="H61" s="120">
        <f t="shared" si="0"/>
        <v>0</v>
      </c>
      <c r="I61" s="341">
        <v>54.92</v>
      </c>
      <c r="J61" s="121">
        <v>41590</v>
      </c>
      <c r="K61" s="121">
        <v>41585</v>
      </c>
      <c r="L61" s="122">
        <v>30</v>
      </c>
      <c r="M61" s="272" t="s">
        <v>327</v>
      </c>
      <c r="N61" s="272" t="s">
        <v>232</v>
      </c>
      <c r="O61" s="122">
        <v>618</v>
      </c>
      <c r="R61" s="120">
        <v>54.92</v>
      </c>
      <c r="U61" s="340" t="s">
        <v>325</v>
      </c>
      <c r="V61" s="342" t="s">
        <v>325</v>
      </c>
      <c r="X61" s="120">
        <v>0</v>
      </c>
    </row>
    <row r="62" spans="1:24" s="31" customFormat="1" ht="13.5" customHeight="1">
      <c r="A62" s="270">
        <v>4153807100</v>
      </c>
      <c r="B62" s="323" t="s">
        <v>323</v>
      </c>
      <c r="C62" s="119" t="s">
        <v>233</v>
      </c>
      <c r="D62" s="340" t="s">
        <v>325</v>
      </c>
      <c r="E62" s="119" t="s">
        <v>326</v>
      </c>
      <c r="F62" s="119" t="s">
        <v>277</v>
      </c>
      <c r="G62" s="120">
        <v>220.39</v>
      </c>
      <c r="H62" s="120">
        <f t="shared" si="0"/>
        <v>0</v>
      </c>
      <c r="I62" s="341">
        <v>220.39</v>
      </c>
      <c r="J62" s="121">
        <v>41597</v>
      </c>
      <c r="K62" s="121">
        <v>41592</v>
      </c>
      <c r="L62" s="122">
        <v>29</v>
      </c>
      <c r="M62" s="272" t="s">
        <v>327</v>
      </c>
      <c r="N62" s="272" t="s">
        <v>234</v>
      </c>
      <c r="O62" s="122">
        <v>259</v>
      </c>
      <c r="R62" s="120">
        <v>34.97</v>
      </c>
      <c r="S62" s="121">
        <v>41592</v>
      </c>
      <c r="T62" s="122">
        <v>29</v>
      </c>
      <c r="U62" s="119" t="s">
        <v>327</v>
      </c>
      <c r="V62" s="272" t="s">
        <v>235</v>
      </c>
      <c r="W62" s="122">
        <v>205</v>
      </c>
      <c r="X62" s="120">
        <v>185.42</v>
      </c>
    </row>
    <row r="63" spans="1:24" s="31" customFormat="1" ht="13.5" customHeight="1">
      <c r="A63" s="270">
        <v>4153820112</v>
      </c>
      <c r="B63" s="323" t="s">
        <v>323</v>
      </c>
      <c r="C63" s="119" t="s">
        <v>147</v>
      </c>
      <c r="D63" s="340" t="s">
        <v>325</v>
      </c>
      <c r="E63" s="119" t="s">
        <v>332</v>
      </c>
      <c r="F63" s="340" t="s">
        <v>325</v>
      </c>
      <c r="G63" s="120">
        <v>92.85</v>
      </c>
      <c r="H63" s="120">
        <f t="shared" si="0"/>
        <v>0</v>
      </c>
      <c r="I63" s="341">
        <v>92.85</v>
      </c>
      <c r="J63" s="121">
        <v>41593</v>
      </c>
      <c r="K63" s="121">
        <v>41563</v>
      </c>
      <c r="L63" s="122">
        <v>29</v>
      </c>
      <c r="M63" s="272" t="s">
        <v>327</v>
      </c>
      <c r="N63" s="272" t="s">
        <v>131</v>
      </c>
      <c r="O63" s="122">
        <v>941</v>
      </c>
      <c r="P63" s="122">
        <v>3.1</v>
      </c>
      <c r="Q63" s="122">
        <v>0.4361327400815721</v>
      </c>
      <c r="R63" s="120">
        <v>92.85</v>
      </c>
      <c r="U63" s="340" t="s">
        <v>325</v>
      </c>
      <c r="V63" s="342" t="s">
        <v>325</v>
      </c>
      <c r="X63" s="120">
        <v>0</v>
      </c>
    </row>
    <row r="64" spans="1:24" s="31" customFormat="1" ht="13.5" customHeight="1">
      <c r="A64" s="270">
        <v>4308810115</v>
      </c>
      <c r="B64" s="323" t="s">
        <v>323</v>
      </c>
      <c r="C64" s="119" t="s">
        <v>149</v>
      </c>
      <c r="D64" s="340" t="s">
        <v>325</v>
      </c>
      <c r="E64" s="119" t="s">
        <v>326</v>
      </c>
      <c r="F64" s="340" t="s">
        <v>325</v>
      </c>
      <c r="G64" s="120">
        <v>72.06</v>
      </c>
      <c r="H64" s="120">
        <f t="shared" si="0"/>
        <v>0</v>
      </c>
      <c r="I64" s="341">
        <v>72.06</v>
      </c>
      <c r="J64" s="121">
        <v>41590</v>
      </c>
      <c r="K64" s="121">
        <v>41584</v>
      </c>
      <c r="L64" s="122">
        <v>29</v>
      </c>
      <c r="M64" s="272" t="s">
        <v>327</v>
      </c>
      <c r="N64" s="272" t="s">
        <v>113</v>
      </c>
      <c r="O64" s="122">
        <v>927</v>
      </c>
      <c r="R64" s="120">
        <v>72.06</v>
      </c>
      <c r="U64" s="340" t="s">
        <v>325</v>
      </c>
      <c r="V64" s="342" t="s">
        <v>325</v>
      </c>
      <c r="X64" s="120">
        <v>0</v>
      </c>
    </row>
    <row r="65" spans="1:24" s="31" customFormat="1" ht="13.5" customHeight="1">
      <c r="A65" s="270">
        <v>4399122004</v>
      </c>
      <c r="B65" s="323" t="s">
        <v>323</v>
      </c>
      <c r="C65" s="119" t="s">
        <v>151</v>
      </c>
      <c r="D65" s="340" t="s">
        <v>325</v>
      </c>
      <c r="E65" s="340" t="s">
        <v>325</v>
      </c>
      <c r="F65" s="119" t="s">
        <v>335</v>
      </c>
      <c r="G65" s="120">
        <v>45.52</v>
      </c>
      <c r="H65" s="120">
        <f t="shared" si="0"/>
        <v>0</v>
      </c>
      <c r="I65" s="341">
        <v>45.52</v>
      </c>
      <c r="J65" s="121">
        <v>41597</v>
      </c>
      <c r="M65" s="342" t="s">
        <v>325</v>
      </c>
      <c r="N65" s="342" t="s">
        <v>325</v>
      </c>
      <c r="R65" s="120">
        <v>0</v>
      </c>
      <c r="S65" s="121">
        <v>41592</v>
      </c>
      <c r="T65" s="122">
        <v>29</v>
      </c>
      <c r="U65" s="119" t="s">
        <v>327</v>
      </c>
      <c r="V65" s="272" t="s">
        <v>152</v>
      </c>
      <c r="W65" s="122">
        <v>67</v>
      </c>
      <c r="X65" s="120">
        <v>45.52</v>
      </c>
    </row>
    <row r="66" spans="1:24" s="31" customFormat="1" ht="13.5" customHeight="1">
      <c r="A66" s="270">
        <v>4513814101</v>
      </c>
      <c r="B66" s="323" t="s">
        <v>323</v>
      </c>
      <c r="C66" s="119" t="s">
        <v>153</v>
      </c>
      <c r="D66" s="340" t="s">
        <v>325</v>
      </c>
      <c r="E66" s="119" t="s">
        <v>332</v>
      </c>
      <c r="F66" s="119" t="s">
        <v>277</v>
      </c>
      <c r="G66" s="120">
        <v>241.75</v>
      </c>
      <c r="H66" s="120">
        <f t="shared" si="0"/>
        <v>0</v>
      </c>
      <c r="I66" s="341">
        <v>241.75</v>
      </c>
      <c r="J66" s="121">
        <v>41597</v>
      </c>
      <c r="K66" s="121">
        <v>41592</v>
      </c>
      <c r="L66" s="122">
        <v>29</v>
      </c>
      <c r="M66" s="272" t="s">
        <v>327</v>
      </c>
      <c r="N66" s="272" t="s">
        <v>117</v>
      </c>
      <c r="O66" s="122">
        <v>1751</v>
      </c>
      <c r="P66" s="122">
        <v>6.7</v>
      </c>
      <c r="Q66" s="122">
        <v>0.37549322353748504</v>
      </c>
      <c r="R66" s="120">
        <v>129.09</v>
      </c>
      <c r="S66" s="121">
        <v>41592</v>
      </c>
      <c r="T66" s="122">
        <v>29</v>
      </c>
      <c r="U66" s="119" t="s">
        <v>327</v>
      </c>
      <c r="V66" s="272" t="s">
        <v>155</v>
      </c>
      <c r="W66" s="122">
        <v>113</v>
      </c>
      <c r="X66" s="120">
        <v>112.66</v>
      </c>
    </row>
    <row r="67" spans="1:24" s="31" customFormat="1" ht="13.5" customHeight="1">
      <c r="A67" s="270">
        <v>4533881110</v>
      </c>
      <c r="B67" s="323" t="s">
        <v>323</v>
      </c>
      <c r="C67" s="119" t="s">
        <v>156</v>
      </c>
      <c r="D67" s="119" t="s">
        <v>157</v>
      </c>
      <c r="E67" s="119" t="s">
        <v>158</v>
      </c>
      <c r="F67" s="340" t="s">
        <v>325</v>
      </c>
      <c r="G67" s="120">
        <v>27.1</v>
      </c>
      <c r="H67" s="120">
        <f t="shared" si="0"/>
        <v>0</v>
      </c>
      <c r="I67" s="341">
        <v>27.1</v>
      </c>
      <c r="J67" s="121">
        <v>41597</v>
      </c>
      <c r="K67" s="121">
        <v>41597</v>
      </c>
      <c r="L67" s="122">
        <v>29</v>
      </c>
      <c r="M67" s="272" t="s">
        <v>327</v>
      </c>
      <c r="N67" s="342" t="s">
        <v>325</v>
      </c>
      <c r="O67" s="122">
        <v>159</v>
      </c>
      <c r="R67" s="120">
        <v>27.1</v>
      </c>
      <c r="U67" s="340" t="s">
        <v>325</v>
      </c>
      <c r="V67" s="342" t="s">
        <v>325</v>
      </c>
      <c r="X67" s="120">
        <v>0</v>
      </c>
    </row>
    <row r="68" spans="1:24" s="31" customFormat="1" ht="13.5" customHeight="1">
      <c r="A68" s="270">
        <v>4568811105</v>
      </c>
      <c r="B68" s="323" t="s">
        <v>323</v>
      </c>
      <c r="C68" s="119" t="s">
        <v>159</v>
      </c>
      <c r="D68" s="340" t="s">
        <v>325</v>
      </c>
      <c r="E68" s="119" t="s">
        <v>326</v>
      </c>
      <c r="F68" s="340" t="s">
        <v>325</v>
      </c>
      <c r="G68" s="120">
        <v>53.47</v>
      </c>
      <c r="H68" s="120">
        <f t="shared" si="0"/>
        <v>0</v>
      </c>
      <c r="I68" s="341">
        <v>53.47</v>
      </c>
      <c r="J68" s="121">
        <v>41590</v>
      </c>
      <c r="K68" s="121">
        <v>41585</v>
      </c>
      <c r="L68" s="122">
        <v>30</v>
      </c>
      <c r="M68" s="272" t="s">
        <v>327</v>
      </c>
      <c r="N68" s="272" t="s">
        <v>160</v>
      </c>
      <c r="O68" s="122">
        <v>592</v>
      </c>
      <c r="R68" s="120">
        <v>53.47</v>
      </c>
      <c r="U68" s="340" t="s">
        <v>325</v>
      </c>
      <c r="V68" s="342" t="s">
        <v>325</v>
      </c>
      <c r="X68" s="120">
        <v>0</v>
      </c>
    </row>
    <row r="69" spans="1:24" s="31" customFormat="1" ht="13.5" customHeight="1">
      <c r="A69" s="270">
        <v>4588811101</v>
      </c>
      <c r="B69" s="323" t="s">
        <v>323</v>
      </c>
      <c r="C69" s="119" t="s">
        <v>159</v>
      </c>
      <c r="D69" s="340" t="s">
        <v>325</v>
      </c>
      <c r="E69" s="119" t="s">
        <v>326</v>
      </c>
      <c r="F69" s="340" t="s">
        <v>325</v>
      </c>
      <c r="G69" s="120">
        <v>27.29</v>
      </c>
      <c r="H69" s="120">
        <f t="shared" si="0"/>
        <v>0</v>
      </c>
      <c r="I69" s="341">
        <v>27.29</v>
      </c>
      <c r="J69" s="121">
        <v>41590</v>
      </c>
      <c r="K69" s="121">
        <v>41584</v>
      </c>
      <c r="L69" s="122">
        <v>29</v>
      </c>
      <c r="M69" s="272" t="s">
        <v>240</v>
      </c>
      <c r="N69" s="272" t="s">
        <v>127</v>
      </c>
      <c r="O69" s="122">
        <v>120</v>
      </c>
      <c r="R69" s="120">
        <v>27.29</v>
      </c>
      <c r="U69" s="340" t="s">
        <v>325</v>
      </c>
      <c r="V69" s="342" t="s">
        <v>325</v>
      </c>
      <c r="X69" s="120">
        <v>0</v>
      </c>
    </row>
    <row r="70" spans="1:24" s="31" customFormat="1" ht="13.5" customHeight="1">
      <c r="A70" s="270">
        <v>4794009102</v>
      </c>
      <c r="B70" s="323" t="s">
        <v>323</v>
      </c>
      <c r="C70" s="119" t="s">
        <v>162</v>
      </c>
      <c r="D70" s="340" t="s">
        <v>325</v>
      </c>
      <c r="E70" s="119" t="s">
        <v>255</v>
      </c>
      <c r="F70" s="119" t="s">
        <v>163</v>
      </c>
      <c r="G70" s="120">
        <v>253.74</v>
      </c>
      <c r="H70" s="120">
        <f t="shared" si="0"/>
        <v>121.83000000000001</v>
      </c>
      <c r="I70" s="341">
        <v>131.91</v>
      </c>
      <c r="J70" s="121">
        <v>41569</v>
      </c>
      <c r="K70" s="121">
        <v>41564</v>
      </c>
      <c r="L70" s="122">
        <v>29</v>
      </c>
      <c r="M70" s="272" t="s">
        <v>327</v>
      </c>
      <c r="N70" s="272" t="s">
        <v>164</v>
      </c>
      <c r="O70" s="122">
        <v>618</v>
      </c>
      <c r="R70" s="120">
        <v>106.3</v>
      </c>
      <c r="S70" s="121">
        <v>41565</v>
      </c>
      <c r="T70" s="122">
        <v>30</v>
      </c>
      <c r="U70" s="119" t="s">
        <v>327</v>
      </c>
      <c r="V70" s="272" t="s">
        <v>165</v>
      </c>
      <c r="W70" s="122">
        <v>3</v>
      </c>
      <c r="X70" s="120">
        <v>25.61</v>
      </c>
    </row>
    <row r="71" spans="1:24" s="31" customFormat="1" ht="13.5" customHeight="1">
      <c r="A71" s="270">
        <v>5048811100</v>
      </c>
      <c r="B71" s="323" t="s">
        <v>323</v>
      </c>
      <c r="C71" s="119" t="s">
        <v>166</v>
      </c>
      <c r="D71" s="340" t="s">
        <v>325</v>
      </c>
      <c r="E71" s="119" t="s">
        <v>326</v>
      </c>
      <c r="F71" s="340" t="s">
        <v>325</v>
      </c>
      <c r="G71" s="120">
        <v>32.450000000000003</v>
      </c>
      <c r="H71" s="120">
        <f t="shared" si="0"/>
        <v>0</v>
      </c>
      <c r="I71" s="341">
        <v>32.450000000000003</v>
      </c>
      <c r="J71" s="121">
        <v>41590</v>
      </c>
      <c r="K71" s="121">
        <v>41585</v>
      </c>
      <c r="L71" s="122">
        <v>28</v>
      </c>
      <c r="M71" s="272" t="s">
        <v>327</v>
      </c>
      <c r="N71" s="272" t="s">
        <v>167</v>
      </c>
      <c r="O71" s="122">
        <v>213</v>
      </c>
      <c r="R71" s="120">
        <v>32.450000000000003</v>
      </c>
      <c r="U71" s="340" t="s">
        <v>325</v>
      </c>
      <c r="V71" s="342" t="s">
        <v>325</v>
      </c>
      <c r="X71" s="120">
        <v>0</v>
      </c>
    </row>
    <row r="72" spans="1:24" s="31" customFormat="1" ht="13.5" customHeight="1">
      <c r="A72" s="270">
        <v>5293880104</v>
      </c>
      <c r="B72" s="323" t="s">
        <v>323</v>
      </c>
      <c r="C72" s="119" t="s">
        <v>168</v>
      </c>
      <c r="D72" s="340" t="s">
        <v>325</v>
      </c>
      <c r="E72" s="119" t="s">
        <v>330</v>
      </c>
      <c r="F72" s="340" t="s">
        <v>325</v>
      </c>
      <c r="G72" s="120">
        <v>10392.98</v>
      </c>
      <c r="H72" s="120">
        <f t="shared" si="0"/>
        <v>0</v>
      </c>
      <c r="I72" s="341">
        <v>10392.98</v>
      </c>
      <c r="J72" s="121">
        <v>41597</v>
      </c>
      <c r="K72" s="121">
        <v>41597</v>
      </c>
      <c r="L72" s="122">
        <v>29</v>
      </c>
      <c r="M72" s="272" t="s">
        <v>327</v>
      </c>
      <c r="N72" s="342" t="s">
        <v>325</v>
      </c>
      <c r="O72" s="122">
        <v>37104</v>
      </c>
      <c r="R72" s="120">
        <v>10404.98</v>
      </c>
      <c r="U72" s="340" t="s">
        <v>325</v>
      </c>
      <c r="V72" s="342" t="s">
        <v>325</v>
      </c>
      <c r="X72" s="120">
        <v>0</v>
      </c>
    </row>
    <row r="73" spans="1:24" s="31" customFormat="1" ht="13.5" customHeight="1">
      <c r="A73" s="270">
        <v>5333812119</v>
      </c>
      <c r="B73" s="323" t="s">
        <v>323</v>
      </c>
      <c r="C73" s="119" t="s">
        <v>169</v>
      </c>
      <c r="D73" s="340" t="s">
        <v>325</v>
      </c>
      <c r="E73" s="119" t="s">
        <v>326</v>
      </c>
      <c r="F73" s="340" t="s">
        <v>325</v>
      </c>
      <c r="G73" s="120">
        <v>44.58</v>
      </c>
      <c r="H73" s="120">
        <f t="shared" si="0"/>
        <v>0</v>
      </c>
      <c r="I73" s="341">
        <v>44.58</v>
      </c>
      <c r="J73" s="121">
        <v>41597</v>
      </c>
      <c r="K73" s="121">
        <v>41592</v>
      </c>
      <c r="L73" s="122">
        <v>29</v>
      </c>
      <c r="M73" s="272" t="s">
        <v>327</v>
      </c>
      <c r="N73" s="272" t="s">
        <v>170</v>
      </c>
      <c r="O73" s="122">
        <v>432</v>
      </c>
      <c r="R73" s="120">
        <v>44.58</v>
      </c>
      <c r="U73" s="340" t="s">
        <v>325</v>
      </c>
      <c r="V73" s="342" t="s">
        <v>325</v>
      </c>
      <c r="X73" s="120">
        <v>0</v>
      </c>
    </row>
    <row r="74" spans="1:24" s="31" customFormat="1" ht="13.5" customHeight="1">
      <c r="A74" s="270">
        <v>5513812108</v>
      </c>
      <c r="B74" s="323" t="s">
        <v>323</v>
      </c>
      <c r="C74" s="119" t="s">
        <v>337</v>
      </c>
      <c r="D74" s="340" t="s">
        <v>325</v>
      </c>
      <c r="E74" s="119" t="s">
        <v>332</v>
      </c>
      <c r="F74" s="340" t="s">
        <v>325</v>
      </c>
      <c r="G74" s="120">
        <v>148.88</v>
      </c>
      <c r="H74" s="120">
        <f t="shared" si="0"/>
        <v>0</v>
      </c>
      <c r="I74" s="341">
        <v>148.88</v>
      </c>
      <c r="J74" s="121">
        <v>41597</v>
      </c>
      <c r="K74" s="121">
        <v>41592</v>
      </c>
      <c r="L74" s="122">
        <v>29</v>
      </c>
      <c r="M74" s="272" t="s">
        <v>327</v>
      </c>
      <c r="N74" s="272" t="s">
        <v>114</v>
      </c>
      <c r="O74" s="122">
        <v>1454</v>
      </c>
      <c r="P74" s="122">
        <v>8.6999999999999993</v>
      </c>
      <c r="Q74" s="122">
        <v>0.24012419077817412</v>
      </c>
      <c r="R74" s="120">
        <v>148.88</v>
      </c>
      <c r="U74" s="340" t="s">
        <v>325</v>
      </c>
      <c r="V74" s="342" t="s">
        <v>325</v>
      </c>
      <c r="X74" s="120">
        <v>0</v>
      </c>
    </row>
    <row r="75" spans="1:24" s="31" customFormat="1" ht="13.5" customHeight="1">
      <c r="A75" s="270">
        <v>5613808124</v>
      </c>
      <c r="B75" s="323" t="s">
        <v>323</v>
      </c>
      <c r="C75" s="119" t="s">
        <v>172</v>
      </c>
      <c r="D75" s="340" t="s">
        <v>325</v>
      </c>
      <c r="E75" s="119" t="s">
        <v>255</v>
      </c>
      <c r="F75" s="340" t="s">
        <v>325</v>
      </c>
      <c r="G75" s="120">
        <v>64.91</v>
      </c>
      <c r="H75" s="120">
        <f t="shared" si="0"/>
        <v>0</v>
      </c>
      <c r="I75" s="341">
        <v>64.91</v>
      </c>
      <c r="J75" s="121">
        <v>41597</v>
      </c>
      <c r="K75" s="121">
        <v>41593</v>
      </c>
      <c r="L75" s="122">
        <v>28</v>
      </c>
      <c r="M75" s="272" t="s">
        <v>327</v>
      </c>
      <c r="N75" s="272" t="s">
        <v>128</v>
      </c>
      <c r="O75" s="122">
        <v>378</v>
      </c>
      <c r="R75" s="120">
        <v>64.91</v>
      </c>
      <c r="U75" s="340" t="s">
        <v>325</v>
      </c>
      <c r="V75" s="342" t="s">
        <v>325</v>
      </c>
      <c r="X75" s="120">
        <v>0</v>
      </c>
    </row>
    <row r="76" spans="1:24" s="31" customFormat="1" ht="13.5" customHeight="1">
      <c r="A76" s="270">
        <v>5668811108</v>
      </c>
      <c r="B76" s="323" t="s">
        <v>323</v>
      </c>
      <c r="C76" s="119" t="s">
        <v>159</v>
      </c>
      <c r="D76" s="340" t="s">
        <v>325</v>
      </c>
      <c r="E76" s="119" t="s">
        <v>255</v>
      </c>
      <c r="F76" s="340" t="s">
        <v>325</v>
      </c>
      <c r="G76" s="120">
        <v>32.229999999999997</v>
      </c>
      <c r="H76" s="120">
        <f t="shared" si="0"/>
        <v>0</v>
      </c>
      <c r="I76" s="341">
        <v>32.229999999999997</v>
      </c>
      <c r="J76" s="121">
        <v>41590</v>
      </c>
      <c r="K76" s="121">
        <v>41585</v>
      </c>
      <c r="L76" s="122">
        <v>30</v>
      </c>
      <c r="M76" s="272" t="s">
        <v>327</v>
      </c>
      <c r="N76" s="272" t="s">
        <v>174</v>
      </c>
      <c r="O76" s="122">
        <v>99</v>
      </c>
      <c r="R76" s="120">
        <v>32.229999999999997</v>
      </c>
      <c r="U76" s="340" t="s">
        <v>325</v>
      </c>
      <c r="V76" s="342" t="s">
        <v>325</v>
      </c>
      <c r="X76" s="120">
        <v>0</v>
      </c>
    </row>
    <row r="77" spans="1:24" s="31" customFormat="1" ht="13.5" customHeight="1">
      <c r="A77" s="270">
        <v>5748811104</v>
      </c>
      <c r="B77" s="323" t="s">
        <v>323</v>
      </c>
      <c r="C77" s="119" t="s">
        <v>175</v>
      </c>
      <c r="D77" s="340" t="s">
        <v>325</v>
      </c>
      <c r="E77" s="119" t="s">
        <v>326</v>
      </c>
      <c r="F77" s="340" t="s">
        <v>325</v>
      </c>
      <c r="G77" s="120">
        <v>21.3</v>
      </c>
      <c r="H77" s="120">
        <f t="shared" si="0"/>
        <v>0</v>
      </c>
      <c r="I77" s="341">
        <v>21.3</v>
      </c>
      <c r="J77" s="121">
        <v>41590</v>
      </c>
      <c r="K77" s="121">
        <v>41585</v>
      </c>
      <c r="L77" s="122">
        <v>30</v>
      </c>
      <c r="M77" s="272" t="s">
        <v>327</v>
      </c>
      <c r="N77" s="272" t="s">
        <v>176</v>
      </c>
      <c r="O77" s="122">
        <v>12</v>
      </c>
      <c r="R77" s="120">
        <v>21.3</v>
      </c>
      <c r="U77" s="340" t="s">
        <v>325</v>
      </c>
      <c r="V77" s="342" t="s">
        <v>325</v>
      </c>
      <c r="X77" s="120">
        <v>0</v>
      </c>
    </row>
    <row r="78" spans="1:24" s="31" customFormat="1" ht="13.5" customHeight="1">
      <c r="A78" s="270">
        <v>5828811100</v>
      </c>
      <c r="B78" s="323" t="s">
        <v>323</v>
      </c>
      <c r="C78" s="119" t="s">
        <v>175</v>
      </c>
      <c r="D78" s="340" t="s">
        <v>325</v>
      </c>
      <c r="E78" s="119" t="s">
        <v>326</v>
      </c>
      <c r="F78" s="340" t="s">
        <v>325</v>
      </c>
      <c r="G78" s="120">
        <v>21.44</v>
      </c>
      <c r="H78" s="120">
        <f t="shared" si="0"/>
        <v>0</v>
      </c>
      <c r="I78" s="341">
        <v>21.44</v>
      </c>
      <c r="J78" s="121">
        <v>41590</v>
      </c>
      <c r="K78" s="121">
        <v>41585</v>
      </c>
      <c r="L78" s="122">
        <v>30</v>
      </c>
      <c r="M78" s="272" t="s">
        <v>327</v>
      </c>
      <c r="N78" s="272" t="s">
        <v>177</v>
      </c>
      <c r="O78" s="122">
        <v>15</v>
      </c>
      <c r="R78" s="120">
        <v>21.44</v>
      </c>
      <c r="U78" s="340" t="s">
        <v>325</v>
      </c>
      <c r="V78" s="342" t="s">
        <v>325</v>
      </c>
      <c r="X78" s="120">
        <v>0</v>
      </c>
    </row>
    <row r="79" spans="1:24" s="31" customFormat="1" ht="13.5" customHeight="1">
      <c r="A79" s="270">
        <v>5913814119</v>
      </c>
      <c r="B79" s="323" t="s">
        <v>323</v>
      </c>
      <c r="C79" s="119" t="s">
        <v>178</v>
      </c>
      <c r="D79" s="340" t="s">
        <v>325</v>
      </c>
      <c r="E79" s="119" t="s">
        <v>332</v>
      </c>
      <c r="F79" s="340" t="s">
        <v>325</v>
      </c>
      <c r="G79" s="120">
        <v>168.83</v>
      </c>
      <c r="H79" s="120">
        <f t="shared" si="0"/>
        <v>0</v>
      </c>
      <c r="I79" s="341">
        <v>168.83</v>
      </c>
      <c r="J79" s="121">
        <v>41597</v>
      </c>
      <c r="K79" s="121">
        <v>41592</v>
      </c>
      <c r="L79" s="122">
        <v>29</v>
      </c>
      <c r="M79" s="272" t="s">
        <v>327</v>
      </c>
      <c r="N79" s="272" t="s">
        <v>118</v>
      </c>
      <c r="O79" s="122">
        <v>2814</v>
      </c>
      <c r="P79" s="122">
        <v>10.1</v>
      </c>
      <c r="Q79" s="122">
        <v>0.40030727210652101</v>
      </c>
      <c r="R79" s="120">
        <v>168.83</v>
      </c>
      <c r="U79" s="340" t="s">
        <v>325</v>
      </c>
      <c r="V79" s="342" t="s">
        <v>325</v>
      </c>
      <c r="X79" s="120">
        <v>0</v>
      </c>
    </row>
    <row r="80" spans="1:24" s="31" customFormat="1" ht="13.5" customHeight="1">
      <c r="A80" s="270">
        <v>5933814115</v>
      </c>
      <c r="B80" s="323" t="s">
        <v>323</v>
      </c>
      <c r="C80" s="119" t="s">
        <v>180</v>
      </c>
      <c r="D80" s="340" t="s">
        <v>325</v>
      </c>
      <c r="E80" s="119" t="s">
        <v>332</v>
      </c>
      <c r="F80" s="340" t="s">
        <v>325</v>
      </c>
      <c r="G80" s="120">
        <v>157.47999999999999</v>
      </c>
      <c r="H80" s="120">
        <f t="shared" si="0"/>
        <v>0</v>
      </c>
      <c r="I80" s="341">
        <v>157.47999999999999</v>
      </c>
      <c r="J80" s="121">
        <v>41597</v>
      </c>
      <c r="K80" s="121">
        <v>41592</v>
      </c>
      <c r="L80" s="122">
        <v>29</v>
      </c>
      <c r="M80" s="272" t="s">
        <v>327</v>
      </c>
      <c r="N80" s="272" t="s">
        <v>181</v>
      </c>
      <c r="O80" s="122">
        <v>3389</v>
      </c>
      <c r="P80" s="122">
        <v>8.8000000000000007</v>
      </c>
      <c r="Q80" s="122">
        <v>0.55332419017763845</v>
      </c>
      <c r="R80" s="120">
        <v>157.47999999999999</v>
      </c>
      <c r="U80" s="340" t="s">
        <v>325</v>
      </c>
      <c r="V80" s="342" t="s">
        <v>325</v>
      </c>
      <c r="X80" s="120">
        <v>0</v>
      </c>
    </row>
    <row r="81" spans="1:24" s="31" customFormat="1" ht="13.5" customHeight="1">
      <c r="A81" s="270">
        <v>6053820112</v>
      </c>
      <c r="B81" s="323" t="s">
        <v>323</v>
      </c>
      <c r="C81" s="119" t="s">
        <v>182</v>
      </c>
      <c r="D81" s="340" t="s">
        <v>325</v>
      </c>
      <c r="E81" s="119" t="s">
        <v>326</v>
      </c>
      <c r="F81" s="340" t="s">
        <v>325</v>
      </c>
      <c r="G81" s="120">
        <v>22.16</v>
      </c>
      <c r="H81" s="120">
        <f t="shared" si="0"/>
        <v>0</v>
      </c>
      <c r="I81" s="341">
        <v>22.16</v>
      </c>
      <c r="J81" s="121">
        <v>41597</v>
      </c>
      <c r="K81" s="121">
        <v>41592</v>
      </c>
      <c r="L81" s="122">
        <v>29</v>
      </c>
      <c r="M81" s="272" t="s">
        <v>327</v>
      </c>
      <c r="N81" s="272" t="s">
        <v>183</v>
      </c>
      <c r="O81" s="122">
        <v>28</v>
      </c>
      <c r="R81" s="120">
        <v>22.16</v>
      </c>
      <c r="U81" s="340" t="s">
        <v>325</v>
      </c>
      <c r="V81" s="342" t="s">
        <v>325</v>
      </c>
      <c r="X81" s="120">
        <v>0</v>
      </c>
    </row>
    <row r="82" spans="1:24" s="31" customFormat="1" ht="13.5" customHeight="1">
      <c r="A82" s="270">
        <v>6173817104</v>
      </c>
      <c r="B82" s="323" t="s">
        <v>323</v>
      </c>
      <c r="C82" s="119" t="s">
        <v>184</v>
      </c>
      <c r="D82" s="340" t="s">
        <v>325</v>
      </c>
      <c r="E82" s="119" t="s">
        <v>326</v>
      </c>
      <c r="F82" s="340" t="s">
        <v>325</v>
      </c>
      <c r="G82" s="120">
        <v>40.74</v>
      </c>
      <c r="H82" s="120">
        <f t="shared" si="0"/>
        <v>0</v>
      </c>
      <c r="I82" s="341">
        <v>40.74</v>
      </c>
      <c r="J82" s="121">
        <v>41597</v>
      </c>
      <c r="K82" s="121">
        <v>41592</v>
      </c>
      <c r="L82" s="122">
        <v>29</v>
      </c>
      <c r="M82" s="272" t="s">
        <v>327</v>
      </c>
      <c r="N82" s="272" t="s">
        <v>185</v>
      </c>
      <c r="O82" s="122">
        <v>363</v>
      </c>
      <c r="R82" s="120">
        <v>40.74</v>
      </c>
      <c r="U82" s="340" t="s">
        <v>325</v>
      </c>
      <c r="V82" s="342" t="s">
        <v>325</v>
      </c>
      <c r="X82" s="120">
        <v>0</v>
      </c>
    </row>
    <row r="83" spans="1:24" s="31" customFormat="1" ht="13.5" customHeight="1">
      <c r="A83" s="270">
        <v>6368810106</v>
      </c>
      <c r="B83" s="323" t="s">
        <v>323</v>
      </c>
      <c r="C83" s="119" t="s">
        <v>186</v>
      </c>
      <c r="D83" s="340" t="s">
        <v>325</v>
      </c>
      <c r="E83" s="119" t="s">
        <v>332</v>
      </c>
      <c r="F83" s="340" t="s">
        <v>325</v>
      </c>
      <c r="G83" s="120">
        <v>278.11</v>
      </c>
      <c r="H83" s="120">
        <f t="shared" si="0"/>
        <v>0</v>
      </c>
      <c r="I83" s="341">
        <v>278.11</v>
      </c>
      <c r="J83" s="121">
        <v>41591</v>
      </c>
      <c r="K83" s="121">
        <v>41584</v>
      </c>
      <c r="L83" s="122">
        <v>29</v>
      </c>
      <c r="M83" s="272" t="s">
        <v>327</v>
      </c>
      <c r="N83" s="272" t="s">
        <v>187</v>
      </c>
      <c r="O83" s="122">
        <v>223</v>
      </c>
      <c r="P83" s="122">
        <v>21.5</v>
      </c>
      <c r="Q83" s="122">
        <v>1.4902432504677893E-2</v>
      </c>
      <c r="R83" s="120">
        <v>278.11</v>
      </c>
      <c r="U83" s="340" t="s">
        <v>325</v>
      </c>
      <c r="V83" s="342" t="s">
        <v>325</v>
      </c>
      <c r="X83" s="120">
        <v>0</v>
      </c>
    </row>
    <row r="84" spans="1:24" s="31" customFormat="1" ht="13.5" customHeight="1">
      <c r="A84" s="270">
        <v>6853819124</v>
      </c>
      <c r="B84" s="323" t="s">
        <v>323</v>
      </c>
      <c r="C84" s="119" t="s">
        <v>188</v>
      </c>
      <c r="D84" s="340" t="s">
        <v>325</v>
      </c>
      <c r="E84" s="119" t="s">
        <v>255</v>
      </c>
      <c r="F84" s="340" t="s">
        <v>325</v>
      </c>
      <c r="G84" s="120">
        <v>54.83</v>
      </c>
      <c r="H84" s="120">
        <f t="shared" si="0"/>
        <v>0</v>
      </c>
      <c r="I84" s="341">
        <v>54.83</v>
      </c>
      <c r="J84" s="121">
        <v>41597</v>
      </c>
      <c r="K84" s="121">
        <v>41593</v>
      </c>
      <c r="L84" s="122">
        <v>28</v>
      </c>
      <c r="M84" s="272" t="s">
        <v>327</v>
      </c>
      <c r="N84" s="272" t="s">
        <v>189</v>
      </c>
      <c r="O84" s="122">
        <v>292</v>
      </c>
      <c r="R84" s="120">
        <v>54.83</v>
      </c>
      <c r="U84" s="340" t="s">
        <v>325</v>
      </c>
      <c r="V84" s="342" t="s">
        <v>325</v>
      </c>
      <c r="X84" s="120">
        <v>0</v>
      </c>
    </row>
    <row r="85" spans="1:24" s="31" customFormat="1" ht="13.5" customHeight="1">
      <c r="A85" s="270">
        <v>6857311003</v>
      </c>
      <c r="B85" s="323" t="s">
        <v>323</v>
      </c>
      <c r="C85" s="119" t="s">
        <v>190</v>
      </c>
      <c r="D85" s="340" t="s">
        <v>325</v>
      </c>
      <c r="E85" s="119" t="s">
        <v>255</v>
      </c>
      <c r="F85" s="340" t="s">
        <v>325</v>
      </c>
      <c r="G85" s="120">
        <v>21.5</v>
      </c>
      <c r="H85" s="120">
        <f t="shared" si="0"/>
        <v>0</v>
      </c>
      <c r="I85" s="341">
        <v>21.5</v>
      </c>
      <c r="J85" s="121">
        <v>41597</v>
      </c>
      <c r="K85" s="121">
        <v>41592</v>
      </c>
      <c r="L85" s="122">
        <v>29</v>
      </c>
      <c r="M85" s="272" t="s">
        <v>327</v>
      </c>
      <c r="N85" s="272" t="s">
        <v>191</v>
      </c>
      <c r="O85" s="122">
        <v>4</v>
      </c>
      <c r="R85" s="120">
        <v>21.5</v>
      </c>
      <c r="U85" s="340" t="s">
        <v>325</v>
      </c>
      <c r="V85" s="342" t="s">
        <v>325</v>
      </c>
      <c r="X85" s="120">
        <v>0</v>
      </c>
    </row>
    <row r="86" spans="1:24" s="31" customFormat="1" ht="13.5" customHeight="1">
      <c r="A86" s="270">
        <v>7312015014</v>
      </c>
      <c r="B86" s="323" t="s">
        <v>323</v>
      </c>
      <c r="C86" s="119" t="s">
        <v>192</v>
      </c>
      <c r="D86" s="340" t="s">
        <v>325</v>
      </c>
      <c r="E86" s="119" t="s">
        <v>326</v>
      </c>
      <c r="F86" s="340" t="s">
        <v>325</v>
      </c>
      <c r="G86" s="120">
        <v>25.11</v>
      </c>
      <c r="H86" s="120">
        <f t="shared" si="0"/>
        <v>0</v>
      </c>
      <c r="I86" s="341">
        <v>25.11</v>
      </c>
      <c r="J86" s="121">
        <v>41590</v>
      </c>
      <c r="K86" s="121">
        <v>41585</v>
      </c>
      <c r="L86" s="122">
        <v>30</v>
      </c>
      <c r="M86" s="272" t="s">
        <v>327</v>
      </c>
      <c r="N86" s="272" t="s">
        <v>193</v>
      </c>
      <c r="O86" s="122">
        <v>81</v>
      </c>
      <c r="R86" s="120">
        <v>25.11</v>
      </c>
      <c r="U86" s="340" t="s">
        <v>325</v>
      </c>
      <c r="V86" s="342" t="s">
        <v>325</v>
      </c>
      <c r="X86" s="120">
        <v>0</v>
      </c>
    </row>
    <row r="87" spans="1:24" s="31" customFormat="1" ht="13.5" customHeight="1">
      <c r="A87" s="270">
        <v>8193819106</v>
      </c>
      <c r="B87" s="323" t="s">
        <v>323</v>
      </c>
      <c r="C87" s="119" t="s">
        <v>205</v>
      </c>
      <c r="D87" s="340" t="s">
        <v>325</v>
      </c>
      <c r="E87" s="340" t="s">
        <v>325</v>
      </c>
      <c r="F87" s="119" t="s">
        <v>335</v>
      </c>
      <c r="G87" s="120">
        <v>209.39</v>
      </c>
      <c r="H87" s="120">
        <f t="shared" si="0"/>
        <v>0</v>
      </c>
      <c r="I87" s="341">
        <v>209.39</v>
      </c>
      <c r="J87" s="121">
        <v>41597</v>
      </c>
      <c r="M87" s="342" t="s">
        <v>325</v>
      </c>
      <c r="N87" s="342" t="s">
        <v>325</v>
      </c>
      <c r="R87" s="120">
        <v>0</v>
      </c>
      <c r="S87" s="121">
        <v>41592</v>
      </c>
      <c r="T87" s="122">
        <v>29</v>
      </c>
      <c r="U87" s="119" t="s">
        <v>327</v>
      </c>
      <c r="V87" s="272" t="s">
        <v>88</v>
      </c>
      <c r="W87" s="122">
        <v>697</v>
      </c>
      <c r="X87" s="120">
        <v>209.39</v>
      </c>
    </row>
    <row r="88" spans="1:24" s="31" customFormat="1" ht="13.5" customHeight="1">
      <c r="A88" s="270">
        <v>8714009102</v>
      </c>
      <c r="B88" s="323" t="s">
        <v>323</v>
      </c>
      <c r="C88" s="119" t="s">
        <v>89</v>
      </c>
      <c r="D88" s="340" t="s">
        <v>325</v>
      </c>
      <c r="E88" s="119" t="s">
        <v>326</v>
      </c>
      <c r="F88" s="119" t="s">
        <v>163</v>
      </c>
      <c r="G88" s="120">
        <v>166.39</v>
      </c>
      <c r="H88" s="120">
        <f t="shared" si="0"/>
        <v>83.999999999999986</v>
      </c>
      <c r="I88" s="341">
        <v>82.39</v>
      </c>
      <c r="J88" s="121">
        <v>41569</v>
      </c>
      <c r="K88" s="121">
        <v>41564</v>
      </c>
      <c r="L88" s="122">
        <v>29</v>
      </c>
      <c r="M88" s="272" t="s">
        <v>327</v>
      </c>
      <c r="N88" s="272" t="s">
        <v>90</v>
      </c>
      <c r="O88" s="122">
        <v>597</v>
      </c>
      <c r="R88" s="120">
        <v>56.78</v>
      </c>
      <c r="S88" s="121">
        <v>41565</v>
      </c>
      <c r="T88" s="122">
        <v>30</v>
      </c>
      <c r="U88" s="119" t="s">
        <v>327</v>
      </c>
      <c r="V88" s="272" t="s">
        <v>91</v>
      </c>
      <c r="W88" s="122">
        <v>3</v>
      </c>
      <c r="X88" s="120">
        <v>25.61</v>
      </c>
    </row>
    <row r="89" spans="1:24" s="31" customFormat="1" ht="13.5" customHeight="1">
      <c r="A89" s="270">
        <v>8993882105</v>
      </c>
      <c r="B89" s="323" t="s">
        <v>323</v>
      </c>
      <c r="C89" s="119" t="s">
        <v>92</v>
      </c>
      <c r="D89" s="340" t="s">
        <v>325</v>
      </c>
      <c r="E89" s="119" t="s">
        <v>330</v>
      </c>
      <c r="F89" s="340" t="s">
        <v>325</v>
      </c>
      <c r="G89" s="120">
        <v>96.8</v>
      </c>
      <c r="H89" s="120">
        <f t="shared" si="0"/>
        <v>0</v>
      </c>
      <c r="I89" s="341">
        <v>96.8</v>
      </c>
      <c r="J89" s="121">
        <v>41597</v>
      </c>
      <c r="K89" s="121">
        <v>41597</v>
      </c>
      <c r="L89" s="122">
        <v>29</v>
      </c>
      <c r="M89" s="272" t="s">
        <v>327</v>
      </c>
      <c r="N89" s="342" t="s">
        <v>325</v>
      </c>
      <c r="O89" s="122">
        <v>93</v>
      </c>
      <c r="R89" s="120">
        <v>96.8</v>
      </c>
      <c r="U89" s="340" t="s">
        <v>325</v>
      </c>
      <c r="V89" s="342" t="s">
        <v>325</v>
      </c>
      <c r="X89" s="120">
        <v>0</v>
      </c>
    </row>
    <row r="90" spans="1:24" s="31" customFormat="1" ht="13.5" customHeight="1">
      <c r="A90" s="270">
        <v>9308810101</v>
      </c>
      <c r="B90" s="323" t="s">
        <v>323</v>
      </c>
      <c r="C90" s="119" t="s">
        <v>337</v>
      </c>
      <c r="D90" s="340" t="s">
        <v>325</v>
      </c>
      <c r="E90" s="340" t="s">
        <v>325</v>
      </c>
      <c r="F90" s="119" t="s">
        <v>335</v>
      </c>
      <c r="G90" s="120">
        <v>36.520000000000003</v>
      </c>
      <c r="H90" s="120">
        <f t="shared" si="0"/>
        <v>0</v>
      </c>
      <c r="I90" s="341">
        <v>36.520000000000003</v>
      </c>
      <c r="J90" s="121">
        <v>41590</v>
      </c>
      <c r="M90" s="342" t="s">
        <v>325</v>
      </c>
      <c r="N90" s="342" t="s">
        <v>325</v>
      </c>
      <c r="R90" s="120">
        <v>0</v>
      </c>
      <c r="S90" s="121">
        <v>41585</v>
      </c>
      <c r="T90" s="122">
        <v>30</v>
      </c>
      <c r="U90" s="119" t="s">
        <v>327</v>
      </c>
      <c r="V90" s="272" t="s">
        <v>93</v>
      </c>
      <c r="W90" s="122">
        <v>39</v>
      </c>
      <c r="X90" s="120">
        <v>36.520000000000003</v>
      </c>
    </row>
    <row r="91" spans="1:24" s="31" customFormat="1" ht="13.5" customHeight="1">
      <c r="A91" s="270">
        <v>9428808118</v>
      </c>
      <c r="B91" s="323" t="s">
        <v>323</v>
      </c>
      <c r="C91" s="119" t="s">
        <v>94</v>
      </c>
      <c r="D91" s="340" t="s">
        <v>325</v>
      </c>
      <c r="E91" s="340" t="s">
        <v>325</v>
      </c>
      <c r="F91" s="119" t="s">
        <v>236</v>
      </c>
      <c r="G91" s="120">
        <v>20.86</v>
      </c>
      <c r="H91" s="120">
        <f t="shared" si="0"/>
        <v>0</v>
      </c>
      <c r="I91" s="341">
        <v>20.86</v>
      </c>
      <c r="J91" s="121">
        <v>41590</v>
      </c>
      <c r="M91" s="342" t="s">
        <v>325</v>
      </c>
      <c r="N91" s="342" t="s">
        <v>325</v>
      </c>
      <c r="R91" s="120">
        <v>0</v>
      </c>
      <c r="S91" s="121">
        <v>41584</v>
      </c>
      <c r="T91" s="122">
        <v>29</v>
      </c>
      <c r="U91" s="119" t="s">
        <v>240</v>
      </c>
      <c r="V91" s="272" t="s">
        <v>97</v>
      </c>
      <c r="W91" s="122">
        <v>1</v>
      </c>
      <c r="X91" s="120">
        <v>20.86</v>
      </c>
    </row>
    <row r="92" spans="1:24" s="31" customFormat="1" ht="13.5" customHeight="1">
      <c r="A92" s="270">
        <v>9488810107</v>
      </c>
      <c r="B92" s="323" t="s">
        <v>323</v>
      </c>
      <c r="C92" s="119" t="s">
        <v>337</v>
      </c>
      <c r="D92" s="340" t="s">
        <v>325</v>
      </c>
      <c r="E92" s="119" t="s">
        <v>332</v>
      </c>
      <c r="F92" s="340" t="s">
        <v>325</v>
      </c>
      <c r="G92" s="120">
        <v>1084.8599999999999</v>
      </c>
      <c r="H92" s="120">
        <f t="shared" si="0"/>
        <v>0</v>
      </c>
      <c r="I92" s="341">
        <v>1084.8599999999999</v>
      </c>
      <c r="J92" s="121">
        <v>41596</v>
      </c>
      <c r="K92" s="121">
        <v>41555</v>
      </c>
      <c r="L92" s="122">
        <v>28</v>
      </c>
      <c r="M92" s="272" t="s">
        <v>327</v>
      </c>
      <c r="N92" s="272" t="s">
        <v>134</v>
      </c>
      <c r="O92" s="122">
        <v>3200</v>
      </c>
      <c r="P92" s="122">
        <v>96</v>
      </c>
      <c r="Q92" s="122">
        <v>4.9603174603174607E-2</v>
      </c>
      <c r="R92" s="120">
        <v>1084.8599999999999</v>
      </c>
      <c r="U92" s="340" t="s">
        <v>325</v>
      </c>
      <c r="V92" s="342" t="s">
        <v>325</v>
      </c>
      <c r="X92" s="120">
        <v>0</v>
      </c>
    </row>
    <row r="93" spans="1:24" s="31" customFormat="1" ht="13.5" customHeight="1">
      <c r="A93" s="270">
        <v>9529017113</v>
      </c>
      <c r="B93" s="323" t="s">
        <v>323</v>
      </c>
      <c r="C93" s="119" t="s">
        <v>99</v>
      </c>
      <c r="D93" s="340" t="s">
        <v>325</v>
      </c>
      <c r="E93" s="119" t="s">
        <v>326</v>
      </c>
      <c r="F93" s="340" t="s">
        <v>325</v>
      </c>
      <c r="G93" s="120">
        <v>63.12</v>
      </c>
      <c r="H93" s="120">
        <f t="shared" si="0"/>
        <v>0</v>
      </c>
      <c r="I93" s="341">
        <v>63.12</v>
      </c>
      <c r="J93" s="121">
        <v>41591</v>
      </c>
      <c r="K93" s="121">
        <v>41585</v>
      </c>
      <c r="L93" s="122">
        <v>29</v>
      </c>
      <c r="M93" s="272" t="s">
        <v>327</v>
      </c>
      <c r="N93" s="272" t="s">
        <v>100</v>
      </c>
      <c r="O93" s="122">
        <v>766</v>
      </c>
      <c r="R93" s="120">
        <v>63.12</v>
      </c>
      <c r="U93" s="340" t="s">
        <v>325</v>
      </c>
      <c r="V93" s="342" t="s">
        <v>325</v>
      </c>
      <c r="X93" s="120">
        <v>0</v>
      </c>
    </row>
    <row r="94" spans="1:24" s="31" customFormat="1" ht="13.5" customHeight="1">
      <c r="A94" s="270">
        <v>9753819107</v>
      </c>
      <c r="B94" s="323" t="s">
        <v>323</v>
      </c>
      <c r="C94" s="119" t="s">
        <v>101</v>
      </c>
      <c r="D94" s="340" t="s">
        <v>325</v>
      </c>
      <c r="E94" s="119" t="s">
        <v>332</v>
      </c>
      <c r="F94" s="119" t="s">
        <v>277</v>
      </c>
      <c r="G94" s="120">
        <v>1533.8</v>
      </c>
      <c r="H94" s="120">
        <f t="shared" si="0"/>
        <v>0</v>
      </c>
      <c r="I94" s="341">
        <v>1533.8</v>
      </c>
      <c r="J94" s="121">
        <v>41597</v>
      </c>
      <c r="K94" s="121">
        <v>41596</v>
      </c>
      <c r="L94" s="122">
        <v>31</v>
      </c>
      <c r="M94" s="272" t="s">
        <v>327</v>
      </c>
      <c r="N94" s="272" t="s">
        <v>102</v>
      </c>
      <c r="O94" s="122">
        <v>13120</v>
      </c>
      <c r="P94" s="122">
        <v>44.8</v>
      </c>
      <c r="Q94" s="122">
        <v>0.39362519201228879</v>
      </c>
      <c r="R94" s="120">
        <v>572.32000000000005</v>
      </c>
      <c r="S94" s="121">
        <v>41592</v>
      </c>
      <c r="T94" s="122">
        <v>29</v>
      </c>
      <c r="U94" s="119" t="s">
        <v>327</v>
      </c>
      <c r="V94" s="272" t="s">
        <v>103</v>
      </c>
      <c r="W94" s="122">
        <v>297</v>
      </c>
      <c r="X94" s="120">
        <v>256.82</v>
      </c>
    </row>
    <row r="95" spans="1:24" s="31" customFormat="1" ht="13.5" customHeight="1">
      <c r="A95" s="270">
        <v>9753820119</v>
      </c>
      <c r="B95" s="323" t="s">
        <v>323</v>
      </c>
      <c r="C95" s="119" t="s">
        <v>104</v>
      </c>
      <c r="D95" s="340" t="s">
        <v>325</v>
      </c>
      <c r="E95" s="119" t="s">
        <v>326</v>
      </c>
      <c r="F95" s="340" t="s">
        <v>325</v>
      </c>
      <c r="G95" s="120">
        <v>22.78</v>
      </c>
      <c r="H95" s="120">
        <f t="shared" si="0"/>
        <v>0</v>
      </c>
      <c r="I95" s="341">
        <v>22.78</v>
      </c>
      <c r="J95" s="121">
        <v>41597</v>
      </c>
      <c r="K95" s="121">
        <v>41592</v>
      </c>
      <c r="L95" s="122">
        <v>29</v>
      </c>
      <c r="M95" s="272" t="s">
        <v>327</v>
      </c>
      <c r="N95" s="272" t="s">
        <v>105</v>
      </c>
      <c r="O95" s="122">
        <v>39</v>
      </c>
      <c r="R95" s="120">
        <v>22.78</v>
      </c>
      <c r="U95" s="340" t="s">
        <v>325</v>
      </c>
      <c r="V95" s="342" t="s">
        <v>325</v>
      </c>
      <c r="X95" s="120">
        <v>0</v>
      </c>
    </row>
    <row r="96" spans="1:24" s="31" customFormat="1" ht="13.5" customHeight="1">
      <c r="A96" s="270">
        <v>9953820104</v>
      </c>
      <c r="B96" s="323" t="s">
        <v>323</v>
      </c>
      <c r="C96" s="119" t="s">
        <v>106</v>
      </c>
      <c r="D96" s="340" t="s">
        <v>325</v>
      </c>
      <c r="E96" s="119" t="s">
        <v>326</v>
      </c>
      <c r="F96" s="340" t="s">
        <v>325</v>
      </c>
      <c r="G96" s="120">
        <v>27.53</v>
      </c>
      <c r="H96" s="120">
        <f>G96-I96</f>
        <v>0</v>
      </c>
      <c r="I96" s="341">
        <v>27.53</v>
      </c>
      <c r="J96" s="121">
        <v>41597</v>
      </c>
      <c r="K96" s="121">
        <v>41592</v>
      </c>
      <c r="L96" s="122">
        <v>29</v>
      </c>
      <c r="M96" s="272" t="s">
        <v>327</v>
      </c>
      <c r="N96" s="272" t="s">
        <v>107</v>
      </c>
      <c r="O96" s="122">
        <v>125</v>
      </c>
      <c r="R96" s="120">
        <v>27.53</v>
      </c>
      <c r="U96" s="340" t="s">
        <v>325</v>
      </c>
      <c r="V96" s="342" t="s">
        <v>325</v>
      </c>
      <c r="X96" s="120">
        <v>0</v>
      </c>
    </row>
    <row r="97" spans="7:24" s="31" customFormat="1">
      <c r="G97" s="88"/>
      <c r="H97" s="88"/>
      <c r="I97" s="88"/>
      <c r="M97" s="255"/>
      <c r="N97" s="255"/>
      <c r="R97" s="88"/>
      <c r="V97" s="255"/>
      <c r="X97" s="88"/>
    </row>
    <row r="98" spans="7:24" s="31" customFormat="1">
      <c r="G98" s="88"/>
      <c r="H98" s="88"/>
      <c r="I98" s="124">
        <f>SUM(I15:I97)</f>
        <v>20388.489999999998</v>
      </c>
      <c r="M98" s="255"/>
      <c r="N98" s="255"/>
      <c r="R98" s="88"/>
      <c r="V98" s="255"/>
      <c r="X98" s="88"/>
    </row>
    <row r="99" spans="7:24" s="31" customFormat="1">
      <c r="G99" s="88"/>
      <c r="H99" s="88"/>
      <c r="I99" s="88"/>
      <c r="M99" s="255"/>
      <c r="O99" s="88"/>
    </row>
    <row r="100" spans="7:24" s="31" customFormat="1">
      <c r="G100" s="88"/>
      <c r="H100" s="88"/>
      <c r="I100" s="88"/>
      <c r="M100" s="255"/>
      <c r="O100" s="88"/>
    </row>
    <row r="101" spans="7:24">
      <c r="G101" s="257"/>
      <c r="J101" s="35"/>
      <c r="O101" s="257"/>
      <c r="P101" s="35"/>
    </row>
    <row r="102" spans="7:24">
      <c r="G102" s="257"/>
      <c r="J102" s="35"/>
      <c r="O102" s="257"/>
      <c r="P102" s="35"/>
    </row>
  </sheetData>
  <mergeCells count="3">
    <mergeCell ref="A5:E5"/>
    <mergeCell ref="A6:E6"/>
    <mergeCell ref="A11:B11"/>
  </mergeCells>
  <phoneticPr fontId="7" type="noConversion"/>
  <pageMargins left="0.5" right="0.5" top="0.5" bottom="0.5" header="0" footer="0"/>
  <headerFooter alignWithMargins="0"/>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4:Y99"/>
  <sheetViews>
    <sheetView zoomScaleNormal="131" zoomScaleSheetLayoutView="181" zoomScalePageLayoutView="131" workbookViewId="0"/>
  </sheetViews>
  <sheetFormatPr baseColWidth="10" defaultColWidth="8.83203125" defaultRowHeight="14" x14ac:dyDescent="0"/>
  <cols>
    <col min="1" max="1" width="17" style="35" customWidth="1"/>
    <col min="2" max="2" width="14" style="349" customWidth="1"/>
    <col min="3" max="3" width="50.33203125" style="35" customWidth="1"/>
    <col min="4" max="4" width="11.83203125" style="35" customWidth="1"/>
    <col min="5" max="5" width="12.5" style="35" customWidth="1"/>
    <col min="6" max="6" width="14" style="35" hidden="1" customWidth="1"/>
    <col min="7" max="7" width="11.5" style="35" hidden="1" customWidth="1"/>
    <col min="8" max="8" width="11.1640625" style="257" hidden="1" customWidth="1"/>
    <col min="9" max="9" width="11.6640625" style="257" customWidth="1"/>
    <col min="10" max="10" width="11.5" style="257" hidden="1" customWidth="1"/>
    <col min="11" max="11" width="12" style="35" hidden="1" customWidth="1"/>
    <col min="12" max="12" width="10.83203125" style="35" hidden="1" customWidth="1"/>
    <col min="13" max="13" width="7.83203125" style="125" hidden="1" customWidth="1"/>
    <col min="14" max="14" width="9.6640625" style="35" hidden="1" customWidth="1"/>
    <col min="15" max="15" width="11.1640625" style="35" customWidth="1"/>
    <col min="16" max="16" width="9.83203125" style="35" hidden="1" customWidth="1"/>
    <col min="17" max="17" width="8.5" style="35" hidden="1" customWidth="1"/>
    <col min="18" max="18" width="12.1640625" style="35" customWidth="1"/>
    <col min="19" max="19" width="12.1640625" style="257" hidden="1" customWidth="1"/>
    <col min="20" max="20" width="11.1640625" style="35" hidden="1" customWidth="1"/>
    <col min="21" max="21" width="5.6640625" style="35" hidden="1" customWidth="1"/>
    <col min="22" max="22" width="10" style="125" hidden="1" customWidth="1"/>
    <col min="23" max="24" width="11.5" style="35" customWidth="1"/>
    <col min="25" max="25" width="11.5" style="257" customWidth="1"/>
    <col min="26" max="16384" width="8.83203125" style="35"/>
  </cols>
  <sheetData>
    <row r="4" spans="1:25" ht="15" thickBot="1"/>
    <row r="5" spans="1:25" ht="15" thickBot="1">
      <c r="A5" s="707" t="s">
        <v>289</v>
      </c>
      <c r="B5" s="708"/>
      <c r="C5" s="708"/>
      <c r="D5" s="708"/>
      <c r="E5" s="709"/>
      <c r="G5" s="257"/>
      <c r="R5" s="257"/>
      <c r="X5" s="257"/>
    </row>
    <row r="6" spans="1:25" ht="15" thickBot="1">
      <c r="A6" s="710" t="s">
        <v>290</v>
      </c>
      <c r="B6" s="711"/>
      <c r="C6" s="711"/>
      <c r="D6" s="711"/>
      <c r="E6" s="712"/>
      <c r="G6" s="257"/>
      <c r="R6" s="257"/>
      <c r="X6" s="257"/>
    </row>
    <row r="7" spans="1:25">
      <c r="A7" s="89" t="s">
        <v>291</v>
      </c>
      <c r="B7" s="343"/>
      <c r="C7" s="91"/>
      <c r="D7" s="91"/>
      <c r="E7" s="92"/>
      <c r="G7" s="257"/>
      <c r="R7" s="257"/>
      <c r="X7" s="257"/>
    </row>
    <row r="8" spans="1:25" ht="15" thickBot="1">
      <c r="A8" s="258" t="s">
        <v>292</v>
      </c>
      <c r="B8" s="344"/>
      <c r="C8" s="259"/>
      <c r="D8" s="259"/>
      <c r="E8" s="260"/>
      <c r="G8" s="257"/>
      <c r="R8" s="257"/>
      <c r="X8" s="257"/>
    </row>
    <row r="9" spans="1:25" ht="15" thickBot="1">
      <c r="A9" s="148" t="s">
        <v>293</v>
      </c>
      <c r="B9" s="345" t="s">
        <v>294</v>
      </c>
      <c r="C9" s="262">
        <v>41628</v>
      </c>
      <c r="D9" s="148" t="s">
        <v>295</v>
      </c>
      <c r="E9" s="262">
        <f>C9+14</f>
        <v>41642</v>
      </c>
      <c r="G9" s="257"/>
      <c r="R9" s="257"/>
      <c r="X9" s="257"/>
    </row>
    <row r="10" spans="1:25" ht="15" thickBot="1">
      <c r="A10" s="191" t="s">
        <v>296</v>
      </c>
      <c r="B10" s="343">
        <f>J98</f>
        <v>3413069</v>
      </c>
      <c r="C10" s="91"/>
      <c r="D10" s="91"/>
      <c r="E10" s="92"/>
      <c r="G10" s="257"/>
      <c r="R10" s="257"/>
      <c r="X10" s="257"/>
    </row>
    <row r="11" spans="1:25" ht="15" thickBot="1">
      <c r="A11" s="718" t="s">
        <v>297</v>
      </c>
      <c r="B11" s="719"/>
      <c r="C11" s="264">
        <v>41598</v>
      </c>
      <c r="D11" s="154" t="s">
        <v>298</v>
      </c>
      <c r="E11" s="262">
        <v>41628</v>
      </c>
      <c r="G11" s="257"/>
      <c r="R11" s="257"/>
      <c r="X11" s="257"/>
    </row>
    <row r="12" spans="1:25" ht="15" thickBot="1">
      <c r="A12" s="265" t="s">
        <v>299</v>
      </c>
      <c r="B12" s="346"/>
      <c r="C12" s="266"/>
      <c r="D12" s="266"/>
      <c r="E12" s="261"/>
      <c r="G12" s="257"/>
      <c r="R12" s="257"/>
      <c r="X12" s="257"/>
    </row>
    <row r="13" spans="1:25" ht="15" thickBot="1">
      <c r="A13" s="195">
        <f>E11</f>
        <v>41628</v>
      </c>
      <c r="B13" s="346"/>
      <c r="C13" s="266"/>
      <c r="D13" s="266"/>
      <c r="E13" s="261"/>
      <c r="G13" s="257"/>
      <c r="R13" s="257"/>
      <c r="X13" s="257"/>
    </row>
    <row r="14" spans="1:25" s="348" customFormat="1" ht="28.5" customHeight="1">
      <c r="A14" s="347" t="s">
        <v>370</v>
      </c>
      <c r="B14" s="320" t="s">
        <v>300</v>
      </c>
      <c r="C14" s="114" t="s">
        <v>301</v>
      </c>
      <c r="D14" s="114" t="s">
        <v>302</v>
      </c>
      <c r="E14" s="114" t="s">
        <v>303</v>
      </c>
      <c r="F14" s="114" t="s">
        <v>304</v>
      </c>
      <c r="G14" s="115" t="s">
        <v>305</v>
      </c>
      <c r="H14" s="115" t="s">
        <v>306</v>
      </c>
      <c r="I14" s="115" t="s">
        <v>307</v>
      </c>
      <c r="J14" s="114" t="s">
        <v>308</v>
      </c>
      <c r="K14" s="114" t="s">
        <v>309</v>
      </c>
      <c r="L14" s="114" t="s">
        <v>310</v>
      </c>
      <c r="M14" s="114" t="s">
        <v>311</v>
      </c>
      <c r="N14" s="114" t="s">
        <v>312</v>
      </c>
      <c r="O14" s="114" t="s">
        <v>313</v>
      </c>
      <c r="P14" s="114" t="s">
        <v>314</v>
      </c>
      <c r="Q14" s="114" t="s">
        <v>315</v>
      </c>
      <c r="R14" s="115" t="s">
        <v>316</v>
      </c>
      <c r="S14" s="114" t="s">
        <v>317</v>
      </c>
      <c r="T14" s="114" t="s">
        <v>318</v>
      </c>
      <c r="U14" s="114" t="s">
        <v>319</v>
      </c>
      <c r="V14" s="114" t="s">
        <v>320</v>
      </c>
      <c r="W14" s="114" t="s">
        <v>321</v>
      </c>
      <c r="X14" s="115" t="s">
        <v>322</v>
      </c>
    </row>
    <row r="15" spans="1:25" ht="13.5" customHeight="1">
      <c r="A15" s="270">
        <v>143027007</v>
      </c>
      <c r="B15" s="323" t="s">
        <v>323</v>
      </c>
      <c r="C15" s="119" t="s">
        <v>324</v>
      </c>
      <c r="D15" s="271" t="s">
        <v>325</v>
      </c>
      <c r="E15" s="119" t="s">
        <v>326</v>
      </c>
      <c r="F15" s="271" t="s">
        <v>325</v>
      </c>
      <c r="G15" s="120">
        <v>24.61</v>
      </c>
      <c r="H15" s="120">
        <v>0</v>
      </c>
      <c r="I15" s="120">
        <v>24.61</v>
      </c>
      <c r="J15" s="121">
        <v>41627</v>
      </c>
      <c r="K15" s="121">
        <v>41624</v>
      </c>
      <c r="L15" s="272">
        <v>32</v>
      </c>
      <c r="M15" s="119" t="s">
        <v>327</v>
      </c>
      <c r="N15" s="119" t="s">
        <v>328</v>
      </c>
      <c r="O15" s="122">
        <v>66</v>
      </c>
      <c r="P15" s="31"/>
      <c r="Q15" s="31"/>
      <c r="R15" s="120">
        <v>24.61</v>
      </c>
      <c r="S15" s="31"/>
      <c r="T15" s="31"/>
      <c r="U15" s="277" t="s">
        <v>325</v>
      </c>
      <c r="V15" s="271" t="s">
        <v>325</v>
      </c>
      <c r="W15" s="31"/>
      <c r="X15" s="120">
        <v>0</v>
      </c>
      <c r="Y15" s="35"/>
    </row>
    <row r="16" spans="1:25" ht="13.5" customHeight="1">
      <c r="A16" s="270">
        <v>173880101</v>
      </c>
      <c r="B16" s="323" t="s">
        <v>323</v>
      </c>
      <c r="C16" s="119" t="s">
        <v>329</v>
      </c>
      <c r="D16" s="271" t="s">
        <v>325</v>
      </c>
      <c r="E16" s="119" t="s">
        <v>330</v>
      </c>
      <c r="F16" s="271" t="s">
        <v>325</v>
      </c>
      <c r="G16" s="120">
        <v>12.33</v>
      </c>
      <c r="H16" s="120">
        <v>0</v>
      </c>
      <c r="I16" s="120">
        <v>12.33</v>
      </c>
      <c r="J16" s="121">
        <v>41627</v>
      </c>
      <c r="K16" s="121">
        <v>41627</v>
      </c>
      <c r="L16" s="272">
        <v>30</v>
      </c>
      <c r="M16" s="119" t="s">
        <v>327</v>
      </c>
      <c r="N16" s="271" t="s">
        <v>325</v>
      </c>
      <c r="O16" s="122">
        <v>75</v>
      </c>
      <c r="P16" s="31"/>
      <c r="Q16" s="31"/>
      <c r="R16" s="120">
        <v>12.33</v>
      </c>
      <c r="S16" s="31"/>
      <c r="T16" s="31"/>
      <c r="U16" s="277" t="s">
        <v>325</v>
      </c>
      <c r="V16" s="271" t="s">
        <v>325</v>
      </c>
      <c r="W16" s="31"/>
      <c r="X16" s="120">
        <v>0</v>
      </c>
      <c r="Y16" s="35"/>
    </row>
    <row r="17" spans="1:25" ht="13.5" customHeight="1">
      <c r="A17" s="270">
        <v>208811116</v>
      </c>
      <c r="B17" s="323" t="s">
        <v>323</v>
      </c>
      <c r="C17" s="119" t="s">
        <v>331</v>
      </c>
      <c r="D17" s="271" t="s">
        <v>325</v>
      </c>
      <c r="E17" s="119" t="s">
        <v>332</v>
      </c>
      <c r="F17" s="271" t="s">
        <v>325</v>
      </c>
      <c r="G17" s="120">
        <v>146.68</v>
      </c>
      <c r="H17" s="120">
        <v>0</v>
      </c>
      <c r="I17" s="120">
        <v>146.68</v>
      </c>
      <c r="J17" s="121">
        <v>41620</v>
      </c>
      <c r="K17" s="121">
        <v>41617</v>
      </c>
      <c r="L17" s="272">
        <v>33</v>
      </c>
      <c r="M17" s="119" t="s">
        <v>327</v>
      </c>
      <c r="N17" s="119" t="s">
        <v>333</v>
      </c>
      <c r="O17" s="122">
        <v>1904</v>
      </c>
      <c r="P17" s="122">
        <v>7.7</v>
      </c>
      <c r="Q17" s="122">
        <v>0.31221303948576679</v>
      </c>
      <c r="R17" s="120">
        <v>146.68</v>
      </c>
      <c r="S17" s="31"/>
      <c r="T17" s="31"/>
      <c r="U17" s="277" t="s">
        <v>325</v>
      </c>
      <c r="V17" s="271" t="s">
        <v>325</v>
      </c>
      <c r="W17" s="31"/>
      <c r="X17" s="120">
        <v>0</v>
      </c>
      <c r="Y17" s="35"/>
    </row>
    <row r="18" spans="1:25" ht="13.5" customHeight="1">
      <c r="A18" s="270">
        <v>248811109</v>
      </c>
      <c r="B18" s="323" t="s">
        <v>323</v>
      </c>
      <c r="C18" s="119" t="s">
        <v>334</v>
      </c>
      <c r="D18" s="271" t="s">
        <v>325</v>
      </c>
      <c r="E18" s="271" t="s">
        <v>325</v>
      </c>
      <c r="F18" s="119" t="s">
        <v>335</v>
      </c>
      <c r="G18" s="120">
        <v>204.9</v>
      </c>
      <c r="H18" s="120">
        <v>0</v>
      </c>
      <c r="I18" s="120">
        <v>204.9</v>
      </c>
      <c r="J18" s="121">
        <v>41620</v>
      </c>
      <c r="K18" s="31"/>
      <c r="L18" s="255"/>
      <c r="M18" s="271" t="s">
        <v>325</v>
      </c>
      <c r="N18" s="271" t="s">
        <v>325</v>
      </c>
      <c r="O18" s="31"/>
      <c r="P18" s="31"/>
      <c r="Q18" s="31"/>
      <c r="R18" s="120">
        <v>0</v>
      </c>
      <c r="S18" s="121">
        <v>41617</v>
      </c>
      <c r="T18" s="122">
        <v>32</v>
      </c>
      <c r="U18" s="272" t="s">
        <v>327</v>
      </c>
      <c r="V18" s="119" t="s">
        <v>336</v>
      </c>
      <c r="W18" s="122">
        <v>695</v>
      </c>
      <c r="X18" s="120">
        <v>204.9</v>
      </c>
      <c r="Y18" s="35"/>
    </row>
    <row r="19" spans="1:25" ht="13.5" customHeight="1">
      <c r="A19" s="270">
        <v>288811101</v>
      </c>
      <c r="B19" s="323" t="s">
        <v>323</v>
      </c>
      <c r="C19" s="119" t="s">
        <v>337</v>
      </c>
      <c r="D19" s="271" t="s">
        <v>325</v>
      </c>
      <c r="E19" s="119" t="s">
        <v>332</v>
      </c>
      <c r="F19" s="271" t="s">
        <v>325</v>
      </c>
      <c r="G19" s="120">
        <v>374.66</v>
      </c>
      <c r="H19" s="120">
        <v>0</v>
      </c>
      <c r="I19" s="120">
        <v>374.66</v>
      </c>
      <c r="J19" s="121">
        <v>41620</v>
      </c>
      <c r="K19" s="121">
        <v>41617</v>
      </c>
      <c r="L19" s="272">
        <v>33</v>
      </c>
      <c r="M19" s="119" t="s">
        <v>327</v>
      </c>
      <c r="N19" s="119" t="s">
        <v>338</v>
      </c>
      <c r="O19" s="122">
        <v>8320</v>
      </c>
      <c r="P19" s="122">
        <v>24.8</v>
      </c>
      <c r="Q19" s="122">
        <v>0.42359074617139136</v>
      </c>
      <c r="R19" s="120">
        <v>374.66</v>
      </c>
      <c r="S19" s="31"/>
      <c r="T19" s="31"/>
      <c r="U19" s="277" t="s">
        <v>325</v>
      </c>
      <c r="V19" s="271" t="s">
        <v>325</v>
      </c>
      <c r="W19" s="31"/>
      <c r="X19" s="120">
        <v>0</v>
      </c>
      <c r="Y19" s="35"/>
    </row>
    <row r="20" spans="1:25" ht="13.5" customHeight="1">
      <c r="A20" s="270">
        <v>293879106</v>
      </c>
      <c r="B20" s="323" t="s">
        <v>323</v>
      </c>
      <c r="C20" s="119" t="s">
        <v>339</v>
      </c>
      <c r="D20" s="119" t="s">
        <v>340</v>
      </c>
      <c r="E20" s="119" t="s">
        <v>330</v>
      </c>
      <c r="F20" s="271" t="s">
        <v>325</v>
      </c>
      <c r="G20" s="120">
        <v>276.52</v>
      </c>
      <c r="H20" s="120">
        <v>0</v>
      </c>
      <c r="I20" s="120">
        <v>276.52</v>
      </c>
      <c r="J20" s="121">
        <v>41627</v>
      </c>
      <c r="K20" s="121">
        <v>41627</v>
      </c>
      <c r="L20" s="272">
        <v>30</v>
      </c>
      <c r="M20" s="119" t="s">
        <v>327</v>
      </c>
      <c r="N20" s="271" t="s">
        <v>325</v>
      </c>
      <c r="O20" s="122">
        <v>934</v>
      </c>
      <c r="P20" s="31"/>
      <c r="Q20" s="31"/>
      <c r="R20" s="120">
        <v>277.42</v>
      </c>
      <c r="S20" s="31"/>
      <c r="T20" s="31"/>
      <c r="U20" s="277" t="s">
        <v>325</v>
      </c>
      <c r="V20" s="271" t="s">
        <v>325</v>
      </c>
      <c r="W20" s="31"/>
      <c r="X20" s="120">
        <v>0</v>
      </c>
      <c r="Y20" s="35"/>
    </row>
    <row r="21" spans="1:25" ht="13.5" customHeight="1">
      <c r="A21" s="270">
        <v>308809118</v>
      </c>
      <c r="B21" s="323" t="s">
        <v>323</v>
      </c>
      <c r="C21" s="119" t="s">
        <v>341</v>
      </c>
      <c r="D21" s="271" t="s">
        <v>325</v>
      </c>
      <c r="E21" s="119" t="s">
        <v>342</v>
      </c>
      <c r="F21" s="119" t="s">
        <v>236</v>
      </c>
      <c r="G21" s="120">
        <v>366.76</v>
      </c>
      <c r="H21" s="120">
        <v>0</v>
      </c>
      <c r="I21" s="120">
        <v>366.76</v>
      </c>
      <c r="J21" s="121">
        <v>41620</v>
      </c>
      <c r="K21" s="121">
        <v>41617</v>
      </c>
      <c r="L21" s="272">
        <v>32</v>
      </c>
      <c r="M21" s="119" t="s">
        <v>327</v>
      </c>
      <c r="N21" s="119" t="s">
        <v>237</v>
      </c>
      <c r="O21" s="122">
        <v>817</v>
      </c>
      <c r="P21" s="31"/>
      <c r="Q21" s="31"/>
      <c r="R21" s="120">
        <v>56.41</v>
      </c>
      <c r="S21" s="121">
        <v>41617</v>
      </c>
      <c r="T21" s="122">
        <v>32</v>
      </c>
      <c r="U21" s="272" t="s">
        <v>327</v>
      </c>
      <c r="V21" s="119" t="s">
        <v>238</v>
      </c>
      <c r="W21" s="122">
        <v>487</v>
      </c>
      <c r="X21" s="120">
        <v>310.35000000000002</v>
      </c>
      <c r="Y21" s="35"/>
    </row>
    <row r="22" spans="1:25" ht="13.5" customHeight="1">
      <c r="A22" s="270">
        <v>375074007</v>
      </c>
      <c r="B22" s="323" t="s">
        <v>323</v>
      </c>
      <c r="C22" s="119" t="s">
        <v>239</v>
      </c>
      <c r="D22" s="271" t="s">
        <v>325</v>
      </c>
      <c r="E22" s="119" t="s">
        <v>326</v>
      </c>
      <c r="F22" s="271" t="s">
        <v>325</v>
      </c>
      <c r="G22" s="120">
        <v>30.86</v>
      </c>
      <c r="H22" s="120">
        <v>0</v>
      </c>
      <c r="I22" s="120">
        <v>30.86</v>
      </c>
      <c r="J22" s="121">
        <v>41627</v>
      </c>
      <c r="K22" s="121">
        <v>41624</v>
      </c>
      <c r="L22" s="272">
        <v>32</v>
      </c>
      <c r="M22" s="119" t="s">
        <v>327</v>
      </c>
      <c r="N22" s="119" t="s">
        <v>129</v>
      </c>
      <c r="O22" s="122">
        <v>170</v>
      </c>
      <c r="P22" s="31"/>
      <c r="Q22" s="31"/>
      <c r="R22" s="120">
        <v>30.86</v>
      </c>
      <c r="S22" s="31"/>
      <c r="T22" s="31"/>
      <c r="U22" s="277" t="s">
        <v>325</v>
      </c>
      <c r="V22" s="271" t="s">
        <v>325</v>
      </c>
      <c r="W22" s="31"/>
      <c r="X22" s="120">
        <v>0</v>
      </c>
      <c r="Y22" s="35"/>
    </row>
    <row r="23" spans="1:25" ht="13.5" customHeight="1">
      <c r="A23" s="270">
        <v>783104003</v>
      </c>
      <c r="B23" s="323" t="s">
        <v>323</v>
      </c>
      <c r="C23" s="119" t="s">
        <v>242</v>
      </c>
      <c r="D23" s="271" t="s">
        <v>325</v>
      </c>
      <c r="E23" s="119" t="s">
        <v>326</v>
      </c>
      <c r="F23" s="271" t="s">
        <v>325</v>
      </c>
      <c r="G23" s="120">
        <v>22.11</v>
      </c>
      <c r="H23" s="120">
        <v>0</v>
      </c>
      <c r="I23" s="120">
        <v>22.11</v>
      </c>
      <c r="J23" s="121">
        <v>41620</v>
      </c>
      <c r="K23" s="121">
        <v>41617</v>
      </c>
      <c r="L23" s="272">
        <v>32</v>
      </c>
      <c r="M23" s="119" t="s">
        <v>327</v>
      </c>
      <c r="N23" s="119" t="s">
        <v>243</v>
      </c>
      <c r="O23" s="122">
        <v>25</v>
      </c>
      <c r="P23" s="31"/>
      <c r="Q23" s="31"/>
      <c r="R23" s="120">
        <v>22.11</v>
      </c>
      <c r="S23" s="31"/>
      <c r="T23" s="31"/>
      <c r="U23" s="277" t="s">
        <v>325</v>
      </c>
      <c r="V23" s="271" t="s">
        <v>325</v>
      </c>
      <c r="W23" s="31"/>
      <c r="X23" s="120">
        <v>0</v>
      </c>
      <c r="Y23" s="35"/>
    </row>
    <row r="24" spans="1:25" ht="13.5" customHeight="1">
      <c r="A24" s="270">
        <v>852028007</v>
      </c>
      <c r="B24" s="323" t="s">
        <v>323</v>
      </c>
      <c r="C24" s="119" t="s">
        <v>244</v>
      </c>
      <c r="D24" s="271" t="s">
        <v>325</v>
      </c>
      <c r="E24" s="271" t="s">
        <v>325</v>
      </c>
      <c r="F24" s="119" t="s">
        <v>335</v>
      </c>
      <c r="G24" s="120">
        <v>176.56</v>
      </c>
      <c r="H24" s="120">
        <v>0</v>
      </c>
      <c r="I24" s="120">
        <v>176.56</v>
      </c>
      <c r="J24" s="121">
        <v>41627</v>
      </c>
      <c r="K24" s="31"/>
      <c r="L24" s="255"/>
      <c r="M24" s="271" t="s">
        <v>325</v>
      </c>
      <c r="N24" s="271" t="s">
        <v>325</v>
      </c>
      <c r="O24" s="31"/>
      <c r="P24" s="31"/>
      <c r="Q24" s="31"/>
      <c r="R24" s="120">
        <v>0</v>
      </c>
      <c r="S24" s="121">
        <v>41624</v>
      </c>
      <c r="T24" s="122">
        <v>32</v>
      </c>
      <c r="U24" s="272" t="s">
        <v>327</v>
      </c>
      <c r="V24" s="119" t="s">
        <v>245</v>
      </c>
      <c r="W24" s="122">
        <v>572</v>
      </c>
      <c r="X24" s="120">
        <v>176.56</v>
      </c>
      <c r="Y24" s="35"/>
    </row>
    <row r="25" spans="1:25" ht="13.5" customHeight="1">
      <c r="A25" s="270">
        <v>893816110</v>
      </c>
      <c r="B25" s="323" t="s">
        <v>323</v>
      </c>
      <c r="C25" s="119" t="s">
        <v>246</v>
      </c>
      <c r="D25" s="271" t="s">
        <v>325</v>
      </c>
      <c r="E25" s="119" t="s">
        <v>326</v>
      </c>
      <c r="F25" s="271" t="s">
        <v>325</v>
      </c>
      <c r="G25" s="120">
        <v>28.13</v>
      </c>
      <c r="H25" s="120">
        <v>0</v>
      </c>
      <c r="I25" s="120">
        <v>28.13</v>
      </c>
      <c r="J25" s="121">
        <v>41627</v>
      </c>
      <c r="K25" s="121">
        <v>41624</v>
      </c>
      <c r="L25" s="272">
        <v>32</v>
      </c>
      <c r="M25" s="119" t="s">
        <v>327</v>
      </c>
      <c r="N25" s="119" t="s">
        <v>133</v>
      </c>
      <c r="O25" s="122">
        <v>125</v>
      </c>
      <c r="P25" s="31"/>
      <c r="Q25" s="31"/>
      <c r="R25" s="120">
        <v>28.13</v>
      </c>
      <c r="S25" s="31"/>
      <c r="T25" s="31"/>
      <c r="U25" s="277" t="s">
        <v>325</v>
      </c>
      <c r="V25" s="271" t="s">
        <v>325</v>
      </c>
      <c r="W25" s="31"/>
      <c r="X25" s="120">
        <v>0</v>
      </c>
      <c r="Y25" s="35"/>
    </row>
    <row r="26" spans="1:25" ht="13.5" customHeight="1">
      <c r="A26" s="270">
        <v>893819102</v>
      </c>
      <c r="B26" s="323" t="s">
        <v>323</v>
      </c>
      <c r="C26" s="119" t="s">
        <v>248</v>
      </c>
      <c r="D26" s="271" t="s">
        <v>325</v>
      </c>
      <c r="E26" s="271" t="s">
        <v>325</v>
      </c>
      <c r="F26" s="119" t="s">
        <v>335</v>
      </c>
      <c r="G26" s="120">
        <v>88.08</v>
      </c>
      <c r="H26" s="120">
        <v>0</v>
      </c>
      <c r="I26" s="120">
        <v>88.08</v>
      </c>
      <c r="J26" s="121">
        <v>41627</v>
      </c>
      <c r="K26" s="31"/>
      <c r="L26" s="255"/>
      <c r="M26" s="271" t="s">
        <v>325</v>
      </c>
      <c r="N26" s="271" t="s">
        <v>325</v>
      </c>
      <c r="O26" s="31"/>
      <c r="P26" s="31"/>
      <c r="Q26" s="31"/>
      <c r="R26" s="120">
        <v>0</v>
      </c>
      <c r="S26" s="121">
        <v>41624</v>
      </c>
      <c r="T26" s="122">
        <v>32</v>
      </c>
      <c r="U26" s="272" t="s">
        <v>327</v>
      </c>
      <c r="V26" s="119" t="s">
        <v>249</v>
      </c>
      <c r="W26" s="122">
        <v>203</v>
      </c>
      <c r="X26" s="120">
        <v>88.08</v>
      </c>
      <c r="Y26" s="35"/>
    </row>
    <row r="27" spans="1:25" ht="13.5" customHeight="1">
      <c r="A27" s="270">
        <v>913819100</v>
      </c>
      <c r="B27" s="323" t="s">
        <v>323</v>
      </c>
      <c r="C27" s="119" t="s">
        <v>250</v>
      </c>
      <c r="D27" s="271" t="s">
        <v>325</v>
      </c>
      <c r="E27" s="271" t="s">
        <v>325</v>
      </c>
      <c r="F27" s="119" t="s">
        <v>335</v>
      </c>
      <c r="G27" s="120">
        <v>86.48</v>
      </c>
      <c r="H27" s="120">
        <v>0</v>
      </c>
      <c r="I27" s="120">
        <v>86.48</v>
      </c>
      <c r="J27" s="121">
        <v>41627</v>
      </c>
      <c r="K27" s="31"/>
      <c r="L27" s="255"/>
      <c r="M27" s="271" t="s">
        <v>325</v>
      </c>
      <c r="N27" s="271" t="s">
        <v>325</v>
      </c>
      <c r="O27" s="31"/>
      <c r="P27" s="31"/>
      <c r="Q27" s="31"/>
      <c r="R27" s="120">
        <v>0</v>
      </c>
      <c r="S27" s="121">
        <v>41624</v>
      </c>
      <c r="T27" s="122">
        <v>32</v>
      </c>
      <c r="U27" s="272" t="s">
        <v>327</v>
      </c>
      <c r="V27" s="119" t="s">
        <v>251</v>
      </c>
      <c r="W27" s="122">
        <v>198</v>
      </c>
      <c r="X27" s="120">
        <v>86.48</v>
      </c>
      <c r="Y27" s="35"/>
    </row>
    <row r="28" spans="1:25" ht="13.5" customHeight="1">
      <c r="A28" s="270">
        <v>933819115</v>
      </c>
      <c r="B28" s="323" t="s">
        <v>323</v>
      </c>
      <c r="C28" s="119" t="s">
        <v>252</v>
      </c>
      <c r="D28" s="271" t="s">
        <v>325</v>
      </c>
      <c r="E28" s="271" t="s">
        <v>325</v>
      </c>
      <c r="F28" s="119" t="s">
        <v>335</v>
      </c>
      <c r="G28" s="120">
        <v>89.04</v>
      </c>
      <c r="H28" s="120">
        <v>0</v>
      </c>
      <c r="I28" s="120">
        <v>89.04</v>
      </c>
      <c r="J28" s="121">
        <v>41627</v>
      </c>
      <c r="K28" s="31"/>
      <c r="L28" s="255"/>
      <c r="M28" s="271" t="s">
        <v>325</v>
      </c>
      <c r="N28" s="271" t="s">
        <v>325</v>
      </c>
      <c r="O28" s="31"/>
      <c r="P28" s="31"/>
      <c r="Q28" s="31"/>
      <c r="R28" s="120">
        <v>0</v>
      </c>
      <c r="S28" s="121">
        <v>41624</v>
      </c>
      <c r="T28" s="122">
        <v>32</v>
      </c>
      <c r="U28" s="272" t="s">
        <v>327</v>
      </c>
      <c r="V28" s="119" t="s">
        <v>253</v>
      </c>
      <c r="W28" s="122">
        <v>206</v>
      </c>
      <c r="X28" s="120">
        <v>89.04</v>
      </c>
      <c r="Y28" s="35"/>
    </row>
    <row r="29" spans="1:25" ht="13.5" customHeight="1">
      <c r="A29" s="270">
        <v>948810124</v>
      </c>
      <c r="B29" s="323" t="s">
        <v>323</v>
      </c>
      <c r="C29" s="119" t="s">
        <v>254</v>
      </c>
      <c r="D29" s="271" t="s">
        <v>325</v>
      </c>
      <c r="E29" s="119" t="s">
        <v>255</v>
      </c>
      <c r="F29" s="271" t="s">
        <v>325</v>
      </c>
      <c r="G29" s="120">
        <v>64.03</v>
      </c>
      <c r="H29" s="120">
        <v>0</v>
      </c>
      <c r="I29" s="120">
        <v>64.03</v>
      </c>
      <c r="J29" s="121">
        <v>41620</v>
      </c>
      <c r="K29" s="121">
        <v>41617</v>
      </c>
      <c r="L29" s="272">
        <v>33</v>
      </c>
      <c r="M29" s="119" t="s">
        <v>327</v>
      </c>
      <c r="N29" s="119" t="s">
        <v>256</v>
      </c>
      <c r="O29" s="122">
        <v>296</v>
      </c>
      <c r="P29" s="31"/>
      <c r="Q29" s="31"/>
      <c r="R29" s="120">
        <v>64.03</v>
      </c>
      <c r="S29" s="31"/>
      <c r="T29" s="31"/>
      <c r="U29" s="277" t="s">
        <v>325</v>
      </c>
      <c r="V29" s="271" t="s">
        <v>325</v>
      </c>
      <c r="W29" s="31"/>
      <c r="X29" s="120">
        <v>0</v>
      </c>
      <c r="Y29" s="35"/>
    </row>
    <row r="30" spans="1:25" ht="13.5" customHeight="1">
      <c r="A30" s="270">
        <v>1028809119</v>
      </c>
      <c r="B30" s="323" t="s">
        <v>323</v>
      </c>
      <c r="C30" s="119" t="s">
        <v>257</v>
      </c>
      <c r="D30" s="271" t="s">
        <v>325</v>
      </c>
      <c r="E30" s="119" t="s">
        <v>255</v>
      </c>
      <c r="F30" s="271" t="s">
        <v>325</v>
      </c>
      <c r="G30" s="120">
        <v>20.62</v>
      </c>
      <c r="H30" s="120">
        <v>0</v>
      </c>
      <c r="I30" s="120">
        <v>20.62</v>
      </c>
      <c r="J30" s="121">
        <v>41620</v>
      </c>
      <c r="K30" s="121">
        <v>41617</v>
      </c>
      <c r="L30" s="272">
        <v>32</v>
      </c>
      <c r="M30" s="119" t="s">
        <v>327</v>
      </c>
      <c r="N30" s="119" t="s">
        <v>258</v>
      </c>
      <c r="O30" s="122">
        <v>0</v>
      </c>
      <c r="P30" s="31"/>
      <c r="Q30" s="31"/>
      <c r="R30" s="120">
        <v>20.62</v>
      </c>
      <c r="S30" s="31"/>
      <c r="T30" s="31"/>
      <c r="U30" s="277" t="s">
        <v>325</v>
      </c>
      <c r="V30" s="271" t="s">
        <v>325</v>
      </c>
      <c r="W30" s="31"/>
      <c r="X30" s="120">
        <v>0</v>
      </c>
      <c r="Y30" s="35"/>
    </row>
    <row r="31" spans="1:25" ht="13.5" customHeight="1">
      <c r="A31" s="270">
        <v>1133133008</v>
      </c>
      <c r="B31" s="323" t="s">
        <v>323</v>
      </c>
      <c r="C31" s="119" t="s">
        <v>259</v>
      </c>
      <c r="D31" s="271" t="s">
        <v>325</v>
      </c>
      <c r="E31" s="119" t="s">
        <v>326</v>
      </c>
      <c r="F31" s="271" t="s">
        <v>325</v>
      </c>
      <c r="G31" s="120">
        <v>30.51</v>
      </c>
      <c r="H31" s="120">
        <v>0</v>
      </c>
      <c r="I31" s="120">
        <v>30.51</v>
      </c>
      <c r="J31" s="121">
        <v>41614</v>
      </c>
      <c r="K31" s="121">
        <v>41611</v>
      </c>
      <c r="L31" s="272">
        <v>33</v>
      </c>
      <c r="M31" s="119" t="s">
        <v>327</v>
      </c>
      <c r="N31" s="119" t="s">
        <v>260</v>
      </c>
      <c r="O31" s="122">
        <v>164</v>
      </c>
      <c r="P31" s="31"/>
      <c r="Q31" s="31"/>
      <c r="R31" s="120">
        <v>30.51</v>
      </c>
      <c r="S31" s="31"/>
      <c r="T31" s="31"/>
      <c r="U31" s="277" t="s">
        <v>325</v>
      </c>
      <c r="V31" s="271" t="s">
        <v>325</v>
      </c>
      <c r="W31" s="31"/>
      <c r="X31" s="120">
        <v>0</v>
      </c>
      <c r="Y31" s="35"/>
    </row>
    <row r="32" spans="1:25" ht="13.5" customHeight="1">
      <c r="A32" s="270">
        <v>1133819101</v>
      </c>
      <c r="B32" s="323" t="s">
        <v>323</v>
      </c>
      <c r="C32" s="119" t="s">
        <v>261</v>
      </c>
      <c r="D32" s="271" t="s">
        <v>325</v>
      </c>
      <c r="E32" s="119" t="s">
        <v>326</v>
      </c>
      <c r="F32" s="271" t="s">
        <v>325</v>
      </c>
      <c r="G32" s="120">
        <v>48.83</v>
      </c>
      <c r="H32" s="120">
        <v>0</v>
      </c>
      <c r="I32" s="120">
        <v>48.83</v>
      </c>
      <c r="J32" s="121">
        <v>41627</v>
      </c>
      <c r="K32" s="121">
        <v>41624</v>
      </c>
      <c r="L32" s="272">
        <v>32</v>
      </c>
      <c r="M32" s="119" t="s">
        <v>327</v>
      </c>
      <c r="N32" s="119" t="s">
        <v>262</v>
      </c>
      <c r="O32" s="122">
        <v>468</v>
      </c>
      <c r="P32" s="31"/>
      <c r="Q32" s="31"/>
      <c r="R32" s="120">
        <v>48.83</v>
      </c>
      <c r="S32" s="31"/>
      <c r="T32" s="31"/>
      <c r="U32" s="277" t="s">
        <v>325</v>
      </c>
      <c r="V32" s="271" t="s">
        <v>325</v>
      </c>
      <c r="W32" s="31"/>
      <c r="X32" s="120">
        <v>0</v>
      </c>
      <c r="Y32" s="35"/>
    </row>
    <row r="33" spans="1:25" ht="13.5" customHeight="1">
      <c r="A33" s="270">
        <v>1193808115</v>
      </c>
      <c r="B33" s="323" t="s">
        <v>323</v>
      </c>
      <c r="C33" s="119" t="s">
        <v>263</v>
      </c>
      <c r="D33" s="271" t="s">
        <v>325</v>
      </c>
      <c r="E33" s="119" t="s">
        <v>326</v>
      </c>
      <c r="F33" s="271" t="s">
        <v>325</v>
      </c>
      <c r="G33" s="120">
        <v>59.13</v>
      </c>
      <c r="H33" s="120">
        <v>0</v>
      </c>
      <c r="I33" s="120">
        <v>59.13</v>
      </c>
      <c r="J33" s="121">
        <v>41627</v>
      </c>
      <c r="K33" s="121">
        <v>41624</v>
      </c>
      <c r="L33" s="272">
        <v>31</v>
      </c>
      <c r="M33" s="119" t="s">
        <v>327</v>
      </c>
      <c r="N33" s="119" t="s">
        <v>264</v>
      </c>
      <c r="O33" s="122">
        <v>639</v>
      </c>
      <c r="P33" s="31"/>
      <c r="Q33" s="31"/>
      <c r="R33" s="120">
        <v>59.13</v>
      </c>
      <c r="S33" s="31"/>
      <c r="T33" s="31"/>
      <c r="U33" s="277" t="s">
        <v>325</v>
      </c>
      <c r="V33" s="271" t="s">
        <v>325</v>
      </c>
      <c r="W33" s="31"/>
      <c r="X33" s="120">
        <v>0</v>
      </c>
      <c r="Y33" s="35"/>
    </row>
    <row r="34" spans="1:25" ht="13.5" customHeight="1">
      <c r="A34" s="270">
        <v>1492627005</v>
      </c>
      <c r="B34" s="323" t="s">
        <v>323</v>
      </c>
      <c r="C34" s="119" t="s">
        <v>265</v>
      </c>
      <c r="D34" s="271" t="s">
        <v>325</v>
      </c>
      <c r="E34" s="119" t="s">
        <v>326</v>
      </c>
      <c r="F34" s="271" t="s">
        <v>325</v>
      </c>
      <c r="G34" s="120">
        <v>26.34</v>
      </c>
      <c r="H34" s="120">
        <v>0</v>
      </c>
      <c r="I34" s="120">
        <v>26.34</v>
      </c>
      <c r="J34" s="121">
        <v>41620</v>
      </c>
      <c r="K34" s="121">
        <v>41617</v>
      </c>
      <c r="L34" s="272">
        <v>32</v>
      </c>
      <c r="M34" s="119" t="s">
        <v>327</v>
      </c>
      <c r="N34" s="119" t="s">
        <v>266</v>
      </c>
      <c r="O34" s="122">
        <v>95</v>
      </c>
      <c r="P34" s="31"/>
      <c r="Q34" s="31"/>
      <c r="R34" s="120">
        <v>26.34</v>
      </c>
      <c r="S34" s="31"/>
      <c r="T34" s="31"/>
      <c r="U34" s="277" t="s">
        <v>325</v>
      </c>
      <c r="V34" s="271" t="s">
        <v>325</v>
      </c>
      <c r="W34" s="31"/>
      <c r="X34" s="120">
        <v>0</v>
      </c>
      <c r="Y34" s="35"/>
    </row>
    <row r="35" spans="1:25" ht="13.5" customHeight="1">
      <c r="A35" s="270">
        <v>1513818115</v>
      </c>
      <c r="B35" s="323" t="s">
        <v>323</v>
      </c>
      <c r="C35" s="119" t="s">
        <v>267</v>
      </c>
      <c r="D35" s="271" t="s">
        <v>325</v>
      </c>
      <c r="E35" s="119" t="s">
        <v>326</v>
      </c>
      <c r="F35" s="271" t="s">
        <v>325</v>
      </c>
      <c r="G35" s="120">
        <v>30.81</v>
      </c>
      <c r="H35" s="120">
        <v>0</v>
      </c>
      <c r="I35" s="120">
        <v>30.81</v>
      </c>
      <c r="J35" s="121">
        <v>41627</v>
      </c>
      <c r="K35" s="121">
        <v>41624</v>
      </c>
      <c r="L35" s="272">
        <v>31</v>
      </c>
      <c r="M35" s="119" t="s">
        <v>327</v>
      </c>
      <c r="N35" s="119" t="s">
        <v>268</v>
      </c>
      <c r="O35" s="122">
        <v>169</v>
      </c>
      <c r="P35" s="31"/>
      <c r="Q35" s="31"/>
      <c r="R35" s="120">
        <v>30.81</v>
      </c>
      <c r="S35" s="31"/>
      <c r="T35" s="31"/>
      <c r="U35" s="277" t="s">
        <v>325</v>
      </c>
      <c r="V35" s="271" t="s">
        <v>325</v>
      </c>
      <c r="W35" s="31"/>
      <c r="X35" s="120">
        <v>0</v>
      </c>
      <c r="Y35" s="35"/>
    </row>
    <row r="36" spans="1:25" ht="13.5" customHeight="1">
      <c r="A36" s="270">
        <v>1608811106</v>
      </c>
      <c r="B36" s="323" t="s">
        <v>323</v>
      </c>
      <c r="C36" s="119" t="s">
        <v>337</v>
      </c>
      <c r="D36" s="271" t="s">
        <v>325</v>
      </c>
      <c r="E36" s="119" t="s">
        <v>332</v>
      </c>
      <c r="F36" s="271" t="s">
        <v>325</v>
      </c>
      <c r="G36" s="120">
        <v>92.37</v>
      </c>
      <c r="H36" s="120">
        <v>0</v>
      </c>
      <c r="I36" s="120">
        <v>92.37</v>
      </c>
      <c r="J36" s="121">
        <v>41620</v>
      </c>
      <c r="K36" s="121">
        <v>41617</v>
      </c>
      <c r="L36" s="272">
        <v>33</v>
      </c>
      <c r="M36" s="119" t="s">
        <v>327</v>
      </c>
      <c r="N36" s="119" t="s">
        <v>111</v>
      </c>
      <c r="O36" s="122">
        <v>406</v>
      </c>
      <c r="P36" s="122">
        <v>3.6</v>
      </c>
      <c r="Q36" s="122">
        <v>0.14239618406285073</v>
      </c>
      <c r="R36" s="120">
        <v>92.37</v>
      </c>
      <c r="S36" s="31"/>
      <c r="T36" s="31"/>
      <c r="U36" s="277" t="s">
        <v>325</v>
      </c>
      <c r="V36" s="271" t="s">
        <v>325</v>
      </c>
      <c r="W36" s="31"/>
      <c r="X36" s="120">
        <v>0</v>
      </c>
      <c r="Y36" s="35"/>
    </row>
    <row r="37" spans="1:25" ht="13.5" customHeight="1">
      <c r="A37" s="270">
        <v>1653819107</v>
      </c>
      <c r="B37" s="323" t="s">
        <v>323</v>
      </c>
      <c r="C37" s="119" t="s">
        <v>270</v>
      </c>
      <c r="D37" s="271" t="s">
        <v>325</v>
      </c>
      <c r="E37" s="119" t="s">
        <v>326</v>
      </c>
      <c r="F37" s="271" t="s">
        <v>325</v>
      </c>
      <c r="G37" s="120">
        <v>75.510000000000005</v>
      </c>
      <c r="H37" s="120">
        <v>0</v>
      </c>
      <c r="I37" s="120">
        <v>75.510000000000005</v>
      </c>
      <c r="J37" s="121">
        <v>41627</v>
      </c>
      <c r="K37" s="121">
        <v>41624</v>
      </c>
      <c r="L37" s="272">
        <v>32</v>
      </c>
      <c r="M37" s="119" t="s">
        <v>327</v>
      </c>
      <c r="N37" s="119" t="s">
        <v>271</v>
      </c>
      <c r="O37" s="122">
        <v>911</v>
      </c>
      <c r="P37" s="31"/>
      <c r="Q37" s="31"/>
      <c r="R37" s="120">
        <v>75.510000000000005</v>
      </c>
      <c r="S37" s="31"/>
      <c r="T37" s="31"/>
      <c r="U37" s="277" t="s">
        <v>325</v>
      </c>
      <c r="V37" s="271" t="s">
        <v>325</v>
      </c>
      <c r="W37" s="31"/>
      <c r="X37" s="120">
        <v>0</v>
      </c>
      <c r="Y37" s="35"/>
    </row>
    <row r="38" spans="1:25" ht="13.5" customHeight="1">
      <c r="A38" s="270">
        <v>1833820108</v>
      </c>
      <c r="B38" s="323" t="s">
        <v>323</v>
      </c>
      <c r="C38" s="119" t="s">
        <v>272</v>
      </c>
      <c r="D38" s="271" t="s">
        <v>325</v>
      </c>
      <c r="E38" s="119" t="s">
        <v>326</v>
      </c>
      <c r="F38" s="271" t="s">
        <v>325</v>
      </c>
      <c r="G38" s="120">
        <v>75.63</v>
      </c>
      <c r="H38" s="120">
        <v>0</v>
      </c>
      <c r="I38" s="120">
        <v>75.63</v>
      </c>
      <c r="J38" s="121">
        <v>41627</v>
      </c>
      <c r="K38" s="121">
        <v>41624</v>
      </c>
      <c r="L38" s="272">
        <v>32</v>
      </c>
      <c r="M38" s="119" t="s">
        <v>327</v>
      </c>
      <c r="N38" s="119" t="s">
        <v>273</v>
      </c>
      <c r="O38" s="122">
        <v>913</v>
      </c>
      <c r="P38" s="31"/>
      <c r="Q38" s="31"/>
      <c r="R38" s="120">
        <v>75.63</v>
      </c>
      <c r="S38" s="31"/>
      <c r="T38" s="31"/>
      <c r="U38" s="277" t="s">
        <v>325</v>
      </c>
      <c r="V38" s="271" t="s">
        <v>325</v>
      </c>
      <c r="W38" s="31"/>
      <c r="X38" s="120">
        <v>0</v>
      </c>
      <c r="Y38" s="35"/>
    </row>
    <row r="39" spans="1:25" ht="13.5" customHeight="1">
      <c r="A39" s="270">
        <v>1851009009</v>
      </c>
      <c r="B39" s="323" t="s">
        <v>323</v>
      </c>
      <c r="C39" s="119" t="s">
        <v>274</v>
      </c>
      <c r="D39" s="271" t="s">
        <v>325</v>
      </c>
      <c r="E39" s="119" t="s">
        <v>326</v>
      </c>
      <c r="F39" s="271" t="s">
        <v>325</v>
      </c>
      <c r="G39" s="120">
        <v>48.15</v>
      </c>
      <c r="H39" s="120">
        <v>0</v>
      </c>
      <c r="I39" s="120">
        <v>48.15</v>
      </c>
      <c r="J39" s="121">
        <v>41627</v>
      </c>
      <c r="K39" s="121">
        <v>41624</v>
      </c>
      <c r="L39" s="272">
        <v>32</v>
      </c>
      <c r="M39" s="119" t="s">
        <v>327</v>
      </c>
      <c r="N39" s="119" t="s">
        <v>275</v>
      </c>
      <c r="O39" s="122">
        <v>457</v>
      </c>
      <c r="P39" s="31"/>
      <c r="Q39" s="31"/>
      <c r="R39" s="120">
        <v>48.15</v>
      </c>
      <c r="S39" s="31"/>
      <c r="T39" s="31"/>
      <c r="U39" s="277" t="s">
        <v>325</v>
      </c>
      <c r="V39" s="271" t="s">
        <v>325</v>
      </c>
      <c r="W39" s="31"/>
      <c r="X39" s="120">
        <v>0</v>
      </c>
      <c r="Y39" s="35"/>
    </row>
    <row r="40" spans="1:25" ht="13.5" customHeight="1">
      <c r="A40" s="270">
        <v>1933810131</v>
      </c>
      <c r="B40" s="323" t="s">
        <v>323</v>
      </c>
      <c r="C40" s="119" t="s">
        <v>76</v>
      </c>
      <c r="D40" s="271" t="s">
        <v>325</v>
      </c>
      <c r="E40" s="119" t="s">
        <v>332</v>
      </c>
      <c r="F40" s="119" t="s">
        <v>277</v>
      </c>
      <c r="G40" s="120">
        <v>422.22</v>
      </c>
      <c r="H40" s="120">
        <v>0</v>
      </c>
      <c r="I40" s="120">
        <v>422.22</v>
      </c>
      <c r="J40" s="121">
        <v>41627</v>
      </c>
      <c r="K40" s="121">
        <v>41624</v>
      </c>
      <c r="L40" s="272">
        <v>32</v>
      </c>
      <c r="M40" s="119" t="s">
        <v>327</v>
      </c>
      <c r="N40" s="119" t="s">
        <v>278</v>
      </c>
      <c r="O40" s="122">
        <v>546</v>
      </c>
      <c r="P40" s="122">
        <v>4.4000000000000004</v>
      </c>
      <c r="Q40" s="122">
        <v>0.16157670454545456</v>
      </c>
      <c r="R40" s="120">
        <v>101.13</v>
      </c>
      <c r="S40" s="121">
        <v>41624</v>
      </c>
      <c r="T40" s="122">
        <v>32</v>
      </c>
      <c r="U40" s="272" t="s">
        <v>327</v>
      </c>
      <c r="V40" s="119" t="s">
        <v>279</v>
      </c>
      <c r="W40" s="122">
        <v>394</v>
      </c>
      <c r="X40" s="120">
        <v>321.08999999999997</v>
      </c>
      <c r="Y40" s="35"/>
    </row>
    <row r="41" spans="1:25" ht="13.5" customHeight="1">
      <c r="A41" s="270">
        <v>2133819102</v>
      </c>
      <c r="B41" s="323" t="s">
        <v>323</v>
      </c>
      <c r="C41" s="119" t="s">
        <v>280</v>
      </c>
      <c r="D41" s="271" t="s">
        <v>325</v>
      </c>
      <c r="E41" s="119" t="s">
        <v>332</v>
      </c>
      <c r="F41" s="271" t="s">
        <v>325</v>
      </c>
      <c r="G41" s="120">
        <v>200.38</v>
      </c>
      <c r="H41" s="120">
        <v>0</v>
      </c>
      <c r="I41" s="120">
        <v>200.38</v>
      </c>
      <c r="J41" s="121">
        <v>41627</v>
      </c>
      <c r="K41" s="121">
        <v>41624</v>
      </c>
      <c r="L41" s="272">
        <v>32</v>
      </c>
      <c r="M41" s="119" t="s">
        <v>327</v>
      </c>
      <c r="N41" s="119" t="s">
        <v>112</v>
      </c>
      <c r="O41" s="122">
        <v>2033</v>
      </c>
      <c r="P41" s="122">
        <v>13</v>
      </c>
      <c r="Q41" s="122">
        <v>0.20362580128205129</v>
      </c>
      <c r="R41" s="120">
        <v>200.38</v>
      </c>
      <c r="S41" s="31"/>
      <c r="T41" s="31"/>
      <c r="U41" s="277" t="s">
        <v>325</v>
      </c>
      <c r="V41" s="271" t="s">
        <v>325</v>
      </c>
      <c r="W41" s="31"/>
      <c r="X41" s="120">
        <v>0</v>
      </c>
      <c r="Y41" s="35"/>
    </row>
    <row r="42" spans="1:25" ht="13.5" customHeight="1">
      <c r="A42" s="270">
        <v>2133821120</v>
      </c>
      <c r="B42" s="323" t="s">
        <v>323</v>
      </c>
      <c r="C42" s="119" t="s">
        <v>194</v>
      </c>
      <c r="D42" s="271" t="s">
        <v>325</v>
      </c>
      <c r="E42" s="119" t="s">
        <v>326</v>
      </c>
      <c r="F42" s="271" t="s">
        <v>325</v>
      </c>
      <c r="G42" s="120">
        <v>92.7</v>
      </c>
      <c r="H42" s="120">
        <v>0</v>
      </c>
      <c r="I42" s="120">
        <v>92.7</v>
      </c>
      <c r="J42" s="121">
        <v>41627</v>
      </c>
      <c r="K42" s="121">
        <v>41624</v>
      </c>
      <c r="L42" s="272">
        <v>32</v>
      </c>
      <c r="M42" s="119" t="s">
        <v>327</v>
      </c>
      <c r="N42" s="119" t="s">
        <v>75</v>
      </c>
      <c r="O42" s="122">
        <v>1196</v>
      </c>
      <c r="P42" s="31"/>
      <c r="Q42" s="31"/>
      <c r="R42" s="120">
        <v>92.7</v>
      </c>
      <c r="S42" s="31"/>
      <c r="T42" s="31"/>
      <c r="U42" s="277" t="s">
        <v>325</v>
      </c>
      <c r="V42" s="271" t="s">
        <v>325</v>
      </c>
      <c r="W42" s="31"/>
      <c r="X42" s="120">
        <v>0</v>
      </c>
      <c r="Y42" s="35"/>
    </row>
    <row r="43" spans="1:25" ht="13.5" customHeight="1">
      <c r="A43" s="270">
        <v>2137454018</v>
      </c>
      <c r="B43" s="323" t="s">
        <v>323</v>
      </c>
      <c r="C43" s="119" t="s">
        <v>77</v>
      </c>
      <c r="D43" s="271" t="s">
        <v>325</v>
      </c>
      <c r="E43" s="119" t="s">
        <v>255</v>
      </c>
      <c r="F43" s="271" t="s">
        <v>325</v>
      </c>
      <c r="G43" s="120">
        <v>21.2</v>
      </c>
      <c r="H43" s="120">
        <v>0</v>
      </c>
      <c r="I43" s="120">
        <v>21.2</v>
      </c>
      <c r="J43" s="121">
        <v>41627</v>
      </c>
      <c r="K43" s="121">
        <v>41624</v>
      </c>
      <c r="L43" s="272">
        <v>32</v>
      </c>
      <c r="M43" s="119" t="s">
        <v>327</v>
      </c>
      <c r="N43" s="119" t="s">
        <v>197</v>
      </c>
      <c r="O43" s="122">
        <v>4</v>
      </c>
      <c r="P43" s="31"/>
      <c r="Q43" s="31"/>
      <c r="R43" s="120">
        <v>21.2</v>
      </c>
      <c r="S43" s="31"/>
      <c r="T43" s="31"/>
      <c r="U43" s="277" t="s">
        <v>325</v>
      </c>
      <c r="V43" s="271" t="s">
        <v>325</v>
      </c>
      <c r="W43" s="31"/>
      <c r="X43" s="120">
        <v>0</v>
      </c>
      <c r="Y43" s="35"/>
    </row>
    <row r="44" spans="1:25" ht="13.5" customHeight="1">
      <c r="A44" s="270">
        <v>2217686007</v>
      </c>
      <c r="B44" s="323" t="s">
        <v>323</v>
      </c>
      <c r="C44" s="119" t="s">
        <v>198</v>
      </c>
      <c r="D44" s="271" t="s">
        <v>325</v>
      </c>
      <c r="E44" s="119" t="s">
        <v>255</v>
      </c>
      <c r="F44" s="271" t="s">
        <v>325</v>
      </c>
      <c r="G44" s="120">
        <v>55.21</v>
      </c>
      <c r="H44" s="120">
        <v>0</v>
      </c>
      <c r="I44" s="120">
        <v>55.21</v>
      </c>
      <c r="J44" s="121">
        <v>41627</v>
      </c>
      <c r="K44" s="121">
        <v>41624</v>
      </c>
      <c r="L44" s="272">
        <v>32</v>
      </c>
      <c r="M44" s="119" t="s">
        <v>327</v>
      </c>
      <c r="N44" s="119" t="s">
        <v>199</v>
      </c>
      <c r="O44" s="122">
        <v>231</v>
      </c>
      <c r="P44" s="31"/>
      <c r="Q44" s="31"/>
      <c r="R44" s="120">
        <v>55.21</v>
      </c>
      <c r="S44" s="31"/>
      <c r="T44" s="31"/>
      <c r="U44" s="277" t="s">
        <v>325</v>
      </c>
      <c r="V44" s="271" t="s">
        <v>325</v>
      </c>
      <c r="W44" s="31"/>
      <c r="X44" s="120">
        <v>0</v>
      </c>
      <c r="Y44" s="35"/>
    </row>
    <row r="45" spans="1:25" ht="13.5" customHeight="1">
      <c r="A45" s="270">
        <v>2480127108</v>
      </c>
      <c r="B45" s="323" t="s">
        <v>323</v>
      </c>
      <c r="C45" s="119" t="s">
        <v>200</v>
      </c>
      <c r="D45" s="271" t="s">
        <v>325</v>
      </c>
      <c r="E45" s="119" t="s">
        <v>201</v>
      </c>
      <c r="F45" s="271" t="s">
        <v>325</v>
      </c>
      <c r="G45" s="120">
        <v>44.46</v>
      </c>
      <c r="H45" s="120">
        <v>0</v>
      </c>
      <c r="I45" s="120">
        <v>44.46</v>
      </c>
      <c r="J45" s="121">
        <v>41610</v>
      </c>
      <c r="K45" s="121">
        <v>41610</v>
      </c>
      <c r="L45" s="272">
        <v>33</v>
      </c>
      <c r="M45" s="119" t="s">
        <v>327</v>
      </c>
      <c r="N45" s="271" t="s">
        <v>325</v>
      </c>
      <c r="O45" s="122">
        <v>332</v>
      </c>
      <c r="P45" s="31"/>
      <c r="Q45" s="31"/>
      <c r="R45" s="120">
        <v>44.46</v>
      </c>
      <c r="S45" s="31"/>
      <c r="T45" s="31"/>
      <c r="U45" s="277" t="s">
        <v>325</v>
      </c>
      <c r="V45" s="271" t="s">
        <v>325</v>
      </c>
      <c r="W45" s="31"/>
      <c r="X45" s="120">
        <v>0</v>
      </c>
      <c r="Y45" s="35"/>
    </row>
    <row r="46" spans="1:25" ht="13.5" customHeight="1">
      <c r="A46" s="270">
        <v>2533809113</v>
      </c>
      <c r="B46" s="323" t="s">
        <v>323</v>
      </c>
      <c r="C46" s="119" t="s">
        <v>202</v>
      </c>
      <c r="D46" s="271" t="s">
        <v>325</v>
      </c>
      <c r="E46" s="119" t="s">
        <v>326</v>
      </c>
      <c r="F46" s="119" t="s">
        <v>277</v>
      </c>
      <c r="G46" s="120">
        <v>117.05</v>
      </c>
      <c r="H46" s="120">
        <v>0</v>
      </c>
      <c r="I46" s="120">
        <v>117.05</v>
      </c>
      <c r="J46" s="121">
        <v>41627</v>
      </c>
      <c r="K46" s="121">
        <v>41624</v>
      </c>
      <c r="L46" s="272">
        <v>32</v>
      </c>
      <c r="M46" s="119" t="s">
        <v>327</v>
      </c>
      <c r="N46" s="119" t="s">
        <v>116</v>
      </c>
      <c r="O46" s="122">
        <v>1182</v>
      </c>
      <c r="P46" s="31"/>
      <c r="Q46" s="31"/>
      <c r="R46" s="120">
        <v>91.84</v>
      </c>
      <c r="S46" s="121">
        <v>41624</v>
      </c>
      <c r="T46" s="122">
        <v>32</v>
      </c>
      <c r="U46" s="272" t="s">
        <v>327</v>
      </c>
      <c r="V46" s="119" t="s">
        <v>204</v>
      </c>
      <c r="W46" s="122">
        <v>2</v>
      </c>
      <c r="X46" s="120">
        <v>25.21</v>
      </c>
      <c r="Y46" s="35"/>
    </row>
    <row r="47" spans="1:25" ht="13.5" customHeight="1">
      <c r="A47" s="270">
        <v>2693810107</v>
      </c>
      <c r="B47" s="323" t="s">
        <v>323</v>
      </c>
      <c r="C47" s="119" t="s">
        <v>205</v>
      </c>
      <c r="D47" s="271" t="s">
        <v>325</v>
      </c>
      <c r="E47" s="119" t="s">
        <v>332</v>
      </c>
      <c r="F47" s="271" t="s">
        <v>325</v>
      </c>
      <c r="G47" s="120">
        <v>881.56</v>
      </c>
      <c r="H47" s="120">
        <v>0</v>
      </c>
      <c r="I47" s="120">
        <v>881.56</v>
      </c>
      <c r="J47" s="121">
        <v>41627</v>
      </c>
      <c r="K47" s="121">
        <v>41624</v>
      </c>
      <c r="L47" s="272">
        <v>32</v>
      </c>
      <c r="M47" s="119" t="s">
        <v>327</v>
      </c>
      <c r="N47" s="119" t="s">
        <v>206</v>
      </c>
      <c r="O47" s="122">
        <v>10920</v>
      </c>
      <c r="P47" s="122">
        <v>38</v>
      </c>
      <c r="Q47" s="122">
        <v>0.3741776315789474</v>
      </c>
      <c r="R47" s="120">
        <v>526.4</v>
      </c>
      <c r="S47" s="31"/>
      <c r="T47" s="31"/>
      <c r="U47" s="277" t="s">
        <v>325</v>
      </c>
      <c r="V47" s="271" t="s">
        <v>325</v>
      </c>
      <c r="W47" s="31"/>
      <c r="X47" s="120">
        <v>0</v>
      </c>
      <c r="Y47" s="35"/>
    </row>
    <row r="48" spans="1:25" ht="13.5" customHeight="1">
      <c r="A48" s="270">
        <v>2703112003</v>
      </c>
      <c r="B48" s="323" t="s">
        <v>323</v>
      </c>
      <c r="C48" s="119" t="s">
        <v>207</v>
      </c>
      <c r="D48" s="271" t="s">
        <v>325</v>
      </c>
      <c r="E48" s="119" t="s">
        <v>332</v>
      </c>
      <c r="F48" s="271" t="s">
        <v>325</v>
      </c>
      <c r="G48" s="120">
        <v>106.35</v>
      </c>
      <c r="H48" s="120">
        <v>0</v>
      </c>
      <c r="I48" s="120">
        <v>106.35</v>
      </c>
      <c r="J48" s="121">
        <v>41620</v>
      </c>
      <c r="K48" s="121">
        <v>41617</v>
      </c>
      <c r="L48" s="272">
        <v>33</v>
      </c>
      <c r="M48" s="119" t="s">
        <v>327</v>
      </c>
      <c r="N48" s="119" t="s">
        <v>208</v>
      </c>
      <c r="O48" s="122">
        <v>1236</v>
      </c>
      <c r="P48" s="122">
        <v>4.3</v>
      </c>
      <c r="Q48" s="122">
        <v>0.36293164200140948</v>
      </c>
      <c r="R48" s="120">
        <v>106.35</v>
      </c>
      <c r="S48" s="31"/>
      <c r="T48" s="31"/>
      <c r="U48" s="277" t="s">
        <v>325</v>
      </c>
      <c r="V48" s="271" t="s">
        <v>325</v>
      </c>
      <c r="W48" s="31"/>
      <c r="X48" s="120">
        <v>0</v>
      </c>
      <c r="Y48" s="35"/>
    </row>
    <row r="49" spans="1:25" ht="13.5" customHeight="1">
      <c r="A49" s="270">
        <v>2773821106</v>
      </c>
      <c r="B49" s="323" t="s">
        <v>323</v>
      </c>
      <c r="C49" s="119" t="s">
        <v>209</v>
      </c>
      <c r="D49" s="271" t="s">
        <v>325</v>
      </c>
      <c r="E49" s="119" t="s">
        <v>255</v>
      </c>
      <c r="F49" s="271" t="s">
        <v>325</v>
      </c>
      <c r="G49" s="120">
        <v>20.62</v>
      </c>
      <c r="H49" s="120">
        <v>0</v>
      </c>
      <c r="I49" s="120">
        <v>20.62</v>
      </c>
      <c r="J49" s="121">
        <v>41627</v>
      </c>
      <c r="K49" s="121">
        <v>41624</v>
      </c>
      <c r="L49" s="272">
        <v>32</v>
      </c>
      <c r="M49" s="119" t="s">
        <v>327</v>
      </c>
      <c r="N49" s="119" t="s">
        <v>210</v>
      </c>
      <c r="O49" s="122">
        <v>0</v>
      </c>
      <c r="P49" s="31"/>
      <c r="Q49" s="31"/>
      <c r="R49" s="120">
        <v>20.62</v>
      </c>
      <c r="S49" s="31"/>
      <c r="T49" s="31"/>
      <c r="U49" s="277" t="s">
        <v>325</v>
      </c>
      <c r="V49" s="271" t="s">
        <v>325</v>
      </c>
      <c r="W49" s="31"/>
      <c r="X49" s="120">
        <v>0</v>
      </c>
      <c r="Y49" s="35"/>
    </row>
    <row r="50" spans="1:25" ht="13.5" customHeight="1">
      <c r="A50" s="270">
        <v>2856106004</v>
      </c>
      <c r="B50" s="323" t="s">
        <v>323</v>
      </c>
      <c r="C50" s="119" t="s">
        <v>211</v>
      </c>
      <c r="D50" s="271" t="s">
        <v>325</v>
      </c>
      <c r="E50" s="271" t="s">
        <v>325</v>
      </c>
      <c r="F50" s="119" t="s">
        <v>335</v>
      </c>
      <c r="G50" s="120">
        <v>30.11</v>
      </c>
      <c r="H50" s="120">
        <v>0</v>
      </c>
      <c r="I50" s="120">
        <v>30.11</v>
      </c>
      <c r="J50" s="121">
        <v>41620</v>
      </c>
      <c r="K50" s="31"/>
      <c r="L50" s="255"/>
      <c r="M50" s="271" t="s">
        <v>325</v>
      </c>
      <c r="N50" s="271" t="s">
        <v>325</v>
      </c>
      <c r="O50" s="31"/>
      <c r="P50" s="31"/>
      <c r="Q50" s="31"/>
      <c r="R50" s="120">
        <v>0</v>
      </c>
      <c r="S50" s="121">
        <v>41617</v>
      </c>
      <c r="T50" s="122">
        <v>32</v>
      </c>
      <c r="U50" s="272" t="s">
        <v>327</v>
      </c>
      <c r="V50" s="119" t="s">
        <v>212</v>
      </c>
      <c r="W50" s="122">
        <v>22</v>
      </c>
      <c r="X50" s="120">
        <v>30.11</v>
      </c>
      <c r="Y50" s="35"/>
    </row>
    <row r="51" spans="1:25" ht="13.5" customHeight="1">
      <c r="A51" s="270">
        <v>2860127100</v>
      </c>
      <c r="B51" s="323" t="s">
        <v>323</v>
      </c>
      <c r="C51" s="119" t="s">
        <v>213</v>
      </c>
      <c r="D51" s="271" t="s">
        <v>325</v>
      </c>
      <c r="E51" s="119" t="s">
        <v>201</v>
      </c>
      <c r="F51" s="271" t="s">
        <v>325</v>
      </c>
      <c r="G51" s="120">
        <v>54.9</v>
      </c>
      <c r="H51" s="120">
        <v>0</v>
      </c>
      <c r="I51" s="120">
        <v>54.9</v>
      </c>
      <c r="J51" s="121">
        <v>41610</v>
      </c>
      <c r="K51" s="121">
        <v>41610</v>
      </c>
      <c r="L51" s="272">
        <v>33</v>
      </c>
      <c r="M51" s="119" t="s">
        <v>327</v>
      </c>
      <c r="N51" s="271" t="s">
        <v>325</v>
      </c>
      <c r="O51" s="122">
        <v>312</v>
      </c>
      <c r="P51" s="31"/>
      <c r="Q51" s="31"/>
      <c r="R51" s="120">
        <v>54.9</v>
      </c>
      <c r="S51" s="31"/>
      <c r="T51" s="31"/>
      <c r="U51" s="277" t="s">
        <v>325</v>
      </c>
      <c r="V51" s="271" t="s">
        <v>325</v>
      </c>
      <c r="W51" s="31"/>
      <c r="X51" s="120">
        <v>0</v>
      </c>
      <c r="Y51" s="35"/>
    </row>
    <row r="52" spans="1:25" ht="13.5" customHeight="1">
      <c r="A52" s="270">
        <v>3040127109</v>
      </c>
      <c r="B52" s="323" t="s">
        <v>323</v>
      </c>
      <c r="C52" s="119" t="s">
        <v>214</v>
      </c>
      <c r="D52" s="271" t="s">
        <v>325</v>
      </c>
      <c r="E52" s="119" t="s">
        <v>201</v>
      </c>
      <c r="F52" s="271" t="s">
        <v>325</v>
      </c>
      <c r="G52" s="120">
        <v>56.59</v>
      </c>
      <c r="H52" s="120">
        <v>0</v>
      </c>
      <c r="I52" s="120">
        <v>56.59</v>
      </c>
      <c r="J52" s="121">
        <v>41610</v>
      </c>
      <c r="K52" s="121">
        <v>41610</v>
      </c>
      <c r="L52" s="272">
        <v>33</v>
      </c>
      <c r="M52" s="119" t="s">
        <v>327</v>
      </c>
      <c r="N52" s="271" t="s">
        <v>325</v>
      </c>
      <c r="O52" s="122">
        <v>326</v>
      </c>
      <c r="P52" s="31"/>
      <c r="Q52" s="31"/>
      <c r="R52" s="120">
        <v>56.59</v>
      </c>
      <c r="S52" s="31"/>
      <c r="T52" s="31"/>
      <c r="U52" s="277" t="s">
        <v>325</v>
      </c>
      <c r="V52" s="271" t="s">
        <v>325</v>
      </c>
      <c r="W52" s="31"/>
      <c r="X52" s="120">
        <v>0</v>
      </c>
      <c r="Y52" s="35"/>
    </row>
    <row r="53" spans="1:25" ht="13.5" customHeight="1">
      <c r="A53" s="270">
        <v>3128810107</v>
      </c>
      <c r="B53" s="323" t="s">
        <v>323</v>
      </c>
      <c r="C53" s="119" t="s">
        <v>215</v>
      </c>
      <c r="D53" s="271" t="s">
        <v>325</v>
      </c>
      <c r="E53" s="119" t="s">
        <v>326</v>
      </c>
      <c r="F53" s="271" t="s">
        <v>325</v>
      </c>
      <c r="G53" s="120">
        <v>21.05</v>
      </c>
      <c r="H53" s="120">
        <v>0</v>
      </c>
      <c r="I53" s="120">
        <v>21.05</v>
      </c>
      <c r="J53" s="121">
        <v>41620</v>
      </c>
      <c r="K53" s="121">
        <v>41617</v>
      </c>
      <c r="L53" s="272">
        <v>32</v>
      </c>
      <c r="M53" s="119" t="s">
        <v>327</v>
      </c>
      <c r="N53" s="119" t="s">
        <v>216</v>
      </c>
      <c r="O53" s="122">
        <v>7</v>
      </c>
      <c r="P53" s="31"/>
      <c r="Q53" s="31"/>
      <c r="R53" s="120">
        <v>21.05</v>
      </c>
      <c r="S53" s="31"/>
      <c r="T53" s="31"/>
      <c r="U53" s="277" t="s">
        <v>325</v>
      </c>
      <c r="V53" s="271" t="s">
        <v>325</v>
      </c>
      <c r="W53" s="31"/>
      <c r="X53" s="120">
        <v>0</v>
      </c>
      <c r="Y53" s="35"/>
    </row>
    <row r="54" spans="1:25" ht="13.5" customHeight="1">
      <c r="A54" s="270">
        <v>3195056004</v>
      </c>
      <c r="B54" s="323" t="s">
        <v>323</v>
      </c>
      <c r="C54" s="119" t="s">
        <v>217</v>
      </c>
      <c r="D54" s="271" t="s">
        <v>325</v>
      </c>
      <c r="E54" s="119" t="s">
        <v>326</v>
      </c>
      <c r="F54" s="271" t="s">
        <v>325</v>
      </c>
      <c r="G54" s="120">
        <v>21.58</v>
      </c>
      <c r="H54" s="120">
        <v>0</v>
      </c>
      <c r="I54" s="120">
        <v>21.58</v>
      </c>
      <c r="J54" s="121">
        <v>41627</v>
      </c>
      <c r="K54" s="121">
        <v>41624</v>
      </c>
      <c r="L54" s="272">
        <v>32</v>
      </c>
      <c r="M54" s="119" t="s">
        <v>327</v>
      </c>
      <c r="N54" s="119" t="s">
        <v>218</v>
      </c>
      <c r="O54" s="122">
        <v>16</v>
      </c>
      <c r="P54" s="31"/>
      <c r="Q54" s="31"/>
      <c r="R54" s="120">
        <v>21.58</v>
      </c>
      <c r="S54" s="31"/>
      <c r="T54" s="31"/>
      <c r="U54" s="277" t="s">
        <v>325</v>
      </c>
      <c r="V54" s="271" t="s">
        <v>325</v>
      </c>
      <c r="W54" s="31"/>
      <c r="X54" s="120">
        <v>0</v>
      </c>
      <c r="Y54" s="35"/>
    </row>
    <row r="55" spans="1:25" ht="13.5" customHeight="1">
      <c r="A55" s="270">
        <v>3273812135</v>
      </c>
      <c r="B55" s="323" t="s">
        <v>323</v>
      </c>
      <c r="C55" s="119" t="s">
        <v>219</v>
      </c>
      <c r="D55" s="271" t="s">
        <v>325</v>
      </c>
      <c r="E55" s="119" t="s">
        <v>326</v>
      </c>
      <c r="F55" s="119" t="s">
        <v>277</v>
      </c>
      <c r="G55" s="120">
        <v>157.72</v>
      </c>
      <c r="H55" s="120">
        <v>0</v>
      </c>
      <c r="I55" s="120">
        <v>157.72</v>
      </c>
      <c r="J55" s="121">
        <v>41627</v>
      </c>
      <c r="K55" s="121">
        <v>41624</v>
      </c>
      <c r="L55" s="272">
        <v>32</v>
      </c>
      <c r="M55" s="119" t="s">
        <v>327</v>
      </c>
      <c r="N55" s="119" t="s">
        <v>125</v>
      </c>
      <c r="O55" s="122">
        <v>1824</v>
      </c>
      <c r="P55" s="31"/>
      <c r="Q55" s="31"/>
      <c r="R55" s="120">
        <v>130.53</v>
      </c>
      <c r="S55" s="121">
        <v>41624</v>
      </c>
      <c r="T55" s="122">
        <v>32</v>
      </c>
      <c r="U55" s="272" t="s">
        <v>327</v>
      </c>
      <c r="V55" s="119" t="s">
        <v>221</v>
      </c>
      <c r="W55" s="122">
        <v>5</v>
      </c>
      <c r="X55" s="120">
        <v>27.19</v>
      </c>
      <c r="Y55" s="35"/>
    </row>
    <row r="56" spans="1:25" ht="13.5" customHeight="1">
      <c r="A56" s="270">
        <v>3293820115</v>
      </c>
      <c r="B56" s="323" t="s">
        <v>323</v>
      </c>
      <c r="C56" s="119" t="s">
        <v>78</v>
      </c>
      <c r="D56" s="271" t="s">
        <v>325</v>
      </c>
      <c r="E56" s="271" t="s">
        <v>325</v>
      </c>
      <c r="F56" s="119" t="s">
        <v>335</v>
      </c>
      <c r="G56" s="120">
        <v>47.62</v>
      </c>
      <c r="H56" s="120">
        <v>0</v>
      </c>
      <c r="I56" s="120">
        <v>47.62</v>
      </c>
      <c r="J56" s="121">
        <v>41627</v>
      </c>
      <c r="K56" s="31"/>
      <c r="L56" s="255"/>
      <c r="M56" s="271" t="s">
        <v>325</v>
      </c>
      <c r="N56" s="271" t="s">
        <v>325</v>
      </c>
      <c r="O56" s="31"/>
      <c r="P56" s="31"/>
      <c r="Q56" s="31"/>
      <c r="R56" s="120">
        <v>0</v>
      </c>
      <c r="S56" s="121">
        <v>41624</v>
      </c>
      <c r="T56" s="122">
        <v>32</v>
      </c>
      <c r="U56" s="272" t="s">
        <v>327</v>
      </c>
      <c r="V56" s="119" t="s">
        <v>223</v>
      </c>
      <c r="W56" s="122">
        <v>77</v>
      </c>
      <c r="X56" s="120">
        <v>47.62</v>
      </c>
      <c r="Y56" s="35"/>
    </row>
    <row r="57" spans="1:25" ht="13.5" customHeight="1">
      <c r="A57" s="270">
        <v>3448808118</v>
      </c>
      <c r="B57" s="323" t="s">
        <v>323</v>
      </c>
      <c r="C57" s="119" t="s">
        <v>224</v>
      </c>
      <c r="D57" s="271" t="s">
        <v>325</v>
      </c>
      <c r="E57" s="119" t="s">
        <v>326</v>
      </c>
      <c r="F57" s="271" t="s">
        <v>325</v>
      </c>
      <c r="G57" s="120">
        <v>72.81</v>
      </c>
      <c r="H57" s="120">
        <v>0</v>
      </c>
      <c r="I57" s="120">
        <v>72.81</v>
      </c>
      <c r="J57" s="121">
        <v>41620</v>
      </c>
      <c r="K57" s="121">
        <v>41617</v>
      </c>
      <c r="L57" s="272">
        <v>32</v>
      </c>
      <c r="M57" s="119" t="s">
        <v>327</v>
      </c>
      <c r="N57" s="119" t="s">
        <v>126</v>
      </c>
      <c r="O57" s="122">
        <v>866</v>
      </c>
      <c r="P57" s="31"/>
      <c r="Q57" s="31"/>
      <c r="R57" s="120">
        <v>72.81</v>
      </c>
      <c r="S57" s="31"/>
      <c r="T57" s="31"/>
      <c r="U57" s="277" t="s">
        <v>325</v>
      </c>
      <c r="V57" s="271" t="s">
        <v>325</v>
      </c>
      <c r="W57" s="31"/>
      <c r="X57" s="120">
        <v>0</v>
      </c>
      <c r="Y57" s="35"/>
    </row>
    <row r="58" spans="1:25" ht="13.5" customHeight="1">
      <c r="A58" s="270">
        <v>3632395006</v>
      </c>
      <c r="B58" s="323" t="s">
        <v>323</v>
      </c>
      <c r="C58" s="119" t="s">
        <v>226</v>
      </c>
      <c r="D58" s="271" t="s">
        <v>325</v>
      </c>
      <c r="E58" s="119" t="s">
        <v>326</v>
      </c>
      <c r="F58" s="271" t="s">
        <v>325</v>
      </c>
      <c r="G58" s="120">
        <v>21.22</v>
      </c>
      <c r="H58" s="120">
        <v>0</v>
      </c>
      <c r="I58" s="120">
        <v>21.22</v>
      </c>
      <c r="J58" s="121">
        <v>41620</v>
      </c>
      <c r="K58" s="121">
        <v>41617</v>
      </c>
      <c r="L58" s="272">
        <v>32</v>
      </c>
      <c r="M58" s="119" t="s">
        <v>327</v>
      </c>
      <c r="N58" s="119" t="s">
        <v>227</v>
      </c>
      <c r="O58" s="122">
        <v>10</v>
      </c>
      <c r="P58" s="31"/>
      <c r="Q58" s="31"/>
      <c r="R58" s="120">
        <v>21.22</v>
      </c>
      <c r="S58" s="31"/>
      <c r="T58" s="31"/>
      <c r="U58" s="277" t="s">
        <v>325</v>
      </c>
      <c r="V58" s="271" t="s">
        <v>325</v>
      </c>
      <c r="W58" s="31"/>
      <c r="X58" s="120">
        <v>0</v>
      </c>
      <c r="Y58" s="35"/>
    </row>
    <row r="59" spans="1:25" ht="13.5" customHeight="1">
      <c r="A59" s="270">
        <v>3753663109</v>
      </c>
      <c r="B59" s="323" t="s">
        <v>323</v>
      </c>
      <c r="C59" s="119" t="s">
        <v>228</v>
      </c>
      <c r="D59" s="271" t="s">
        <v>325</v>
      </c>
      <c r="E59" s="119" t="s">
        <v>330</v>
      </c>
      <c r="F59" s="271" t="s">
        <v>325</v>
      </c>
      <c r="G59" s="120">
        <v>208.28</v>
      </c>
      <c r="H59" s="120">
        <v>0</v>
      </c>
      <c r="I59" s="120">
        <v>208.28</v>
      </c>
      <c r="J59" s="121">
        <v>41627</v>
      </c>
      <c r="K59" s="121">
        <v>41627</v>
      </c>
      <c r="L59" s="272">
        <v>30</v>
      </c>
      <c r="M59" s="119" t="s">
        <v>327</v>
      </c>
      <c r="N59" s="271" t="s">
        <v>325</v>
      </c>
      <c r="O59" s="122">
        <v>224</v>
      </c>
      <c r="P59" s="31"/>
      <c r="Q59" s="31"/>
      <c r="R59" s="120">
        <v>208.28</v>
      </c>
      <c r="S59" s="31"/>
      <c r="T59" s="31"/>
      <c r="U59" s="277" t="s">
        <v>325</v>
      </c>
      <c r="V59" s="271" t="s">
        <v>325</v>
      </c>
      <c r="W59" s="31"/>
      <c r="X59" s="120">
        <v>0</v>
      </c>
      <c r="Y59" s="35"/>
    </row>
    <row r="60" spans="1:25" ht="13.5" customHeight="1">
      <c r="A60" s="270">
        <v>3798043001</v>
      </c>
      <c r="B60" s="323" t="s">
        <v>323</v>
      </c>
      <c r="C60" s="119" t="s">
        <v>229</v>
      </c>
      <c r="D60" s="271" t="s">
        <v>325</v>
      </c>
      <c r="E60" s="119" t="s">
        <v>255</v>
      </c>
      <c r="F60" s="271" t="s">
        <v>325</v>
      </c>
      <c r="G60" s="120">
        <v>43.27</v>
      </c>
      <c r="H60" s="120">
        <v>21.71</v>
      </c>
      <c r="I60" s="120">
        <v>21.56</v>
      </c>
      <c r="J60" s="121">
        <v>41598</v>
      </c>
      <c r="K60" s="121">
        <v>41593</v>
      </c>
      <c r="L60" s="272">
        <v>28</v>
      </c>
      <c r="M60" s="119" t="s">
        <v>327</v>
      </c>
      <c r="N60" s="119" t="s">
        <v>230</v>
      </c>
      <c r="O60" s="122">
        <v>8</v>
      </c>
      <c r="P60" s="31"/>
      <c r="Q60" s="31"/>
      <c r="R60" s="120">
        <v>21.56</v>
      </c>
      <c r="S60" s="31"/>
      <c r="T60" s="31"/>
      <c r="U60" s="277" t="s">
        <v>325</v>
      </c>
      <c r="V60" s="271" t="s">
        <v>325</v>
      </c>
      <c r="W60" s="31"/>
      <c r="X60" s="120">
        <v>0</v>
      </c>
      <c r="Y60" s="35"/>
    </row>
    <row r="61" spans="1:25" ht="13.5" customHeight="1">
      <c r="A61" s="270">
        <v>3908811104</v>
      </c>
      <c r="B61" s="323" t="s">
        <v>323</v>
      </c>
      <c r="C61" s="119" t="s">
        <v>79</v>
      </c>
      <c r="D61" s="271" t="s">
        <v>325</v>
      </c>
      <c r="E61" s="119" t="s">
        <v>326</v>
      </c>
      <c r="F61" s="271" t="s">
        <v>325</v>
      </c>
      <c r="G61" s="120">
        <v>27.54</v>
      </c>
      <c r="H61" s="120">
        <v>0</v>
      </c>
      <c r="I61" s="120">
        <v>27.54</v>
      </c>
      <c r="J61" s="121">
        <v>41620</v>
      </c>
      <c r="K61" s="121">
        <v>41617</v>
      </c>
      <c r="L61" s="272">
        <v>32</v>
      </c>
      <c r="M61" s="119" t="s">
        <v>327</v>
      </c>
      <c r="N61" s="119" t="s">
        <v>232</v>
      </c>
      <c r="O61" s="122">
        <v>115</v>
      </c>
      <c r="P61" s="31"/>
      <c r="Q61" s="31"/>
      <c r="R61" s="120">
        <v>27.54</v>
      </c>
      <c r="S61" s="31"/>
      <c r="T61" s="31"/>
      <c r="U61" s="277" t="s">
        <v>325</v>
      </c>
      <c r="V61" s="271" t="s">
        <v>325</v>
      </c>
      <c r="W61" s="31"/>
      <c r="X61" s="120">
        <v>0</v>
      </c>
      <c r="Y61" s="35"/>
    </row>
    <row r="62" spans="1:25" ht="13.5" customHeight="1">
      <c r="A62" s="270">
        <v>4153807100</v>
      </c>
      <c r="B62" s="323" t="s">
        <v>323</v>
      </c>
      <c r="C62" s="119" t="s">
        <v>80</v>
      </c>
      <c r="D62" s="271" t="s">
        <v>325</v>
      </c>
      <c r="E62" s="119" t="s">
        <v>326</v>
      </c>
      <c r="F62" s="119" t="s">
        <v>277</v>
      </c>
      <c r="G62" s="120">
        <v>614.9</v>
      </c>
      <c r="H62" s="120">
        <v>0</v>
      </c>
      <c r="I62" s="120">
        <v>614.9</v>
      </c>
      <c r="J62" s="121">
        <v>41627</v>
      </c>
      <c r="K62" s="121">
        <v>41624</v>
      </c>
      <c r="L62" s="272">
        <v>32</v>
      </c>
      <c r="M62" s="119" t="s">
        <v>327</v>
      </c>
      <c r="N62" s="119" t="s">
        <v>234</v>
      </c>
      <c r="O62" s="122">
        <v>583</v>
      </c>
      <c r="P62" s="31"/>
      <c r="Q62" s="31"/>
      <c r="R62" s="120">
        <v>55.74</v>
      </c>
      <c r="S62" s="121">
        <v>41624</v>
      </c>
      <c r="T62" s="122">
        <v>32</v>
      </c>
      <c r="U62" s="272" t="s">
        <v>327</v>
      </c>
      <c r="V62" s="119" t="s">
        <v>235</v>
      </c>
      <c r="W62" s="122">
        <v>749</v>
      </c>
      <c r="X62" s="120">
        <v>559.16</v>
      </c>
      <c r="Y62" s="35"/>
    </row>
    <row r="63" spans="1:25" ht="13.5" customHeight="1">
      <c r="A63" s="270">
        <v>4153820112</v>
      </c>
      <c r="B63" s="323" t="s">
        <v>323</v>
      </c>
      <c r="C63" s="119" t="s">
        <v>147</v>
      </c>
      <c r="D63" s="271" t="s">
        <v>325</v>
      </c>
      <c r="E63" s="119" t="s">
        <v>332</v>
      </c>
      <c r="F63" s="271" t="s">
        <v>325</v>
      </c>
      <c r="G63" s="120">
        <v>176.77</v>
      </c>
      <c r="H63" s="120">
        <v>0</v>
      </c>
      <c r="I63" s="120">
        <v>176.77</v>
      </c>
      <c r="J63" s="121">
        <v>41627</v>
      </c>
      <c r="K63" s="121">
        <v>41624</v>
      </c>
      <c r="L63" s="272">
        <v>32</v>
      </c>
      <c r="M63" s="119" t="s">
        <v>327</v>
      </c>
      <c r="N63" s="119" t="s">
        <v>131</v>
      </c>
      <c r="O63" s="122">
        <v>389</v>
      </c>
      <c r="P63" s="122">
        <v>3.4</v>
      </c>
      <c r="Q63" s="122">
        <v>0.1489736519607843</v>
      </c>
      <c r="R63" s="120">
        <v>89.71</v>
      </c>
      <c r="S63" s="31"/>
      <c r="T63" s="31"/>
      <c r="U63" s="277" t="s">
        <v>325</v>
      </c>
      <c r="V63" s="271" t="s">
        <v>325</v>
      </c>
      <c r="W63" s="31"/>
      <c r="X63" s="120">
        <v>0</v>
      </c>
      <c r="Y63" s="35"/>
    </row>
    <row r="64" spans="1:25" ht="13.5" customHeight="1">
      <c r="A64" s="270">
        <v>4308810115</v>
      </c>
      <c r="B64" s="323" t="s">
        <v>323</v>
      </c>
      <c r="C64" s="119" t="s">
        <v>149</v>
      </c>
      <c r="D64" s="271" t="s">
        <v>325</v>
      </c>
      <c r="E64" s="119" t="s">
        <v>326</v>
      </c>
      <c r="F64" s="271" t="s">
        <v>325</v>
      </c>
      <c r="G64" s="120">
        <v>88.22</v>
      </c>
      <c r="H64" s="120">
        <v>0</v>
      </c>
      <c r="I64" s="120">
        <v>88.22</v>
      </c>
      <c r="J64" s="121">
        <v>41620</v>
      </c>
      <c r="K64" s="121">
        <v>41617</v>
      </c>
      <c r="L64" s="272">
        <v>33</v>
      </c>
      <c r="M64" s="119" t="s">
        <v>327</v>
      </c>
      <c r="N64" s="119" t="s">
        <v>113</v>
      </c>
      <c r="O64" s="122">
        <v>1122</v>
      </c>
      <c r="P64" s="31"/>
      <c r="Q64" s="31"/>
      <c r="R64" s="120">
        <v>88.22</v>
      </c>
      <c r="S64" s="31"/>
      <c r="T64" s="31"/>
      <c r="U64" s="277" t="s">
        <v>325</v>
      </c>
      <c r="V64" s="271" t="s">
        <v>325</v>
      </c>
      <c r="W64" s="31"/>
      <c r="X64" s="120">
        <v>0</v>
      </c>
      <c r="Y64" s="35"/>
    </row>
    <row r="65" spans="1:25" ht="13.5" customHeight="1">
      <c r="A65" s="270">
        <v>4399122004</v>
      </c>
      <c r="B65" s="323" t="s">
        <v>323</v>
      </c>
      <c r="C65" s="119" t="s">
        <v>151</v>
      </c>
      <c r="D65" s="271" t="s">
        <v>325</v>
      </c>
      <c r="E65" s="271" t="s">
        <v>325</v>
      </c>
      <c r="F65" s="119" t="s">
        <v>335</v>
      </c>
      <c r="G65" s="120">
        <v>61.11</v>
      </c>
      <c r="H65" s="120">
        <v>0</v>
      </c>
      <c r="I65" s="120">
        <v>61.11</v>
      </c>
      <c r="J65" s="121">
        <v>41627</v>
      </c>
      <c r="K65" s="31"/>
      <c r="L65" s="255"/>
      <c r="M65" s="271" t="s">
        <v>325</v>
      </c>
      <c r="N65" s="271" t="s">
        <v>325</v>
      </c>
      <c r="O65" s="31"/>
      <c r="P65" s="31"/>
      <c r="Q65" s="31"/>
      <c r="R65" s="120">
        <v>0</v>
      </c>
      <c r="S65" s="121">
        <v>41624</v>
      </c>
      <c r="T65" s="122">
        <v>32</v>
      </c>
      <c r="U65" s="272" t="s">
        <v>327</v>
      </c>
      <c r="V65" s="119" t="s">
        <v>152</v>
      </c>
      <c r="W65" s="122">
        <v>119</v>
      </c>
      <c r="X65" s="120">
        <v>61.11</v>
      </c>
      <c r="Y65" s="35"/>
    </row>
    <row r="66" spans="1:25" ht="13.5" customHeight="1">
      <c r="A66" s="270">
        <v>4513814101</v>
      </c>
      <c r="B66" s="323" t="s">
        <v>323</v>
      </c>
      <c r="C66" s="119" t="s">
        <v>153</v>
      </c>
      <c r="D66" s="271" t="s">
        <v>325</v>
      </c>
      <c r="E66" s="119" t="s">
        <v>332</v>
      </c>
      <c r="F66" s="119" t="s">
        <v>277</v>
      </c>
      <c r="G66" s="120">
        <v>481.88</v>
      </c>
      <c r="H66" s="120">
        <v>0</v>
      </c>
      <c r="I66" s="120">
        <v>481.88</v>
      </c>
      <c r="J66" s="121">
        <v>41627</v>
      </c>
      <c r="K66" s="121">
        <v>41624</v>
      </c>
      <c r="L66" s="272">
        <v>32</v>
      </c>
      <c r="M66" s="119" t="s">
        <v>327</v>
      </c>
      <c r="N66" s="119" t="s">
        <v>117</v>
      </c>
      <c r="O66" s="122">
        <v>2647</v>
      </c>
      <c r="P66" s="122">
        <v>8.4</v>
      </c>
      <c r="Q66" s="122">
        <v>0.41031125992063494</v>
      </c>
      <c r="R66" s="120">
        <v>158.86000000000001</v>
      </c>
      <c r="S66" s="121">
        <v>41625</v>
      </c>
      <c r="T66" s="122">
        <v>33</v>
      </c>
      <c r="U66" s="272" t="s">
        <v>327</v>
      </c>
      <c r="V66" s="119" t="s">
        <v>155</v>
      </c>
      <c r="W66" s="122">
        <v>398</v>
      </c>
      <c r="X66" s="120">
        <v>323.02</v>
      </c>
      <c r="Y66" s="35"/>
    </row>
    <row r="67" spans="1:25" ht="13.5" customHeight="1">
      <c r="A67" s="270">
        <v>4533881110</v>
      </c>
      <c r="B67" s="323" t="s">
        <v>323</v>
      </c>
      <c r="C67" s="119" t="s">
        <v>156</v>
      </c>
      <c r="D67" s="119" t="s">
        <v>157</v>
      </c>
      <c r="E67" s="119" t="s">
        <v>158</v>
      </c>
      <c r="F67" s="271" t="s">
        <v>325</v>
      </c>
      <c r="G67" s="120">
        <v>27.69</v>
      </c>
      <c r="H67" s="120">
        <v>0</v>
      </c>
      <c r="I67" s="120">
        <v>27.69</v>
      </c>
      <c r="J67" s="121">
        <v>41627</v>
      </c>
      <c r="K67" s="121">
        <v>41627</v>
      </c>
      <c r="L67" s="272">
        <v>30</v>
      </c>
      <c r="M67" s="119" t="s">
        <v>327</v>
      </c>
      <c r="N67" s="271" t="s">
        <v>325</v>
      </c>
      <c r="O67" s="122">
        <v>164</v>
      </c>
      <c r="P67" s="31"/>
      <c r="Q67" s="31"/>
      <c r="R67" s="120">
        <v>27.69</v>
      </c>
      <c r="S67" s="31"/>
      <c r="T67" s="31"/>
      <c r="U67" s="277" t="s">
        <v>325</v>
      </c>
      <c r="V67" s="271" t="s">
        <v>325</v>
      </c>
      <c r="W67" s="31"/>
      <c r="X67" s="120">
        <v>0</v>
      </c>
      <c r="Y67" s="35"/>
    </row>
    <row r="68" spans="1:25" ht="13.5" customHeight="1">
      <c r="A68" s="270">
        <v>4568811105</v>
      </c>
      <c r="B68" s="323" t="s">
        <v>323</v>
      </c>
      <c r="C68" s="119" t="s">
        <v>159</v>
      </c>
      <c r="D68" s="271" t="s">
        <v>325</v>
      </c>
      <c r="E68" s="119" t="s">
        <v>326</v>
      </c>
      <c r="F68" s="271" t="s">
        <v>325</v>
      </c>
      <c r="G68" s="120">
        <v>56.3</v>
      </c>
      <c r="H68" s="120">
        <v>0</v>
      </c>
      <c r="I68" s="120">
        <v>56.3</v>
      </c>
      <c r="J68" s="121">
        <v>41620</v>
      </c>
      <c r="K68" s="121">
        <v>41617</v>
      </c>
      <c r="L68" s="272">
        <v>32</v>
      </c>
      <c r="M68" s="119" t="s">
        <v>327</v>
      </c>
      <c r="N68" s="119" t="s">
        <v>160</v>
      </c>
      <c r="O68" s="122">
        <v>592</v>
      </c>
      <c r="P68" s="31"/>
      <c r="Q68" s="31"/>
      <c r="R68" s="120">
        <v>56.3</v>
      </c>
      <c r="S68" s="31"/>
      <c r="T68" s="31"/>
      <c r="U68" s="277" t="s">
        <v>325</v>
      </c>
      <c r="V68" s="271" t="s">
        <v>325</v>
      </c>
      <c r="W68" s="31"/>
      <c r="X68" s="120">
        <v>0</v>
      </c>
      <c r="Y68" s="35"/>
    </row>
    <row r="69" spans="1:25" ht="13.5" customHeight="1">
      <c r="A69" s="270">
        <v>4588811101</v>
      </c>
      <c r="B69" s="323" t="s">
        <v>323</v>
      </c>
      <c r="C69" s="119" t="s">
        <v>81</v>
      </c>
      <c r="D69" s="271" t="s">
        <v>325</v>
      </c>
      <c r="E69" s="119" t="s">
        <v>326</v>
      </c>
      <c r="F69" s="271" t="s">
        <v>325</v>
      </c>
      <c r="G69" s="120">
        <v>16.28</v>
      </c>
      <c r="H69" s="120">
        <v>0</v>
      </c>
      <c r="I69" s="120">
        <v>16.28</v>
      </c>
      <c r="J69" s="121">
        <v>41620</v>
      </c>
      <c r="K69" s="121">
        <v>41617</v>
      </c>
      <c r="L69" s="272">
        <v>62</v>
      </c>
      <c r="M69" s="119" t="s">
        <v>327</v>
      </c>
      <c r="N69" s="119" t="s">
        <v>82</v>
      </c>
      <c r="O69" s="122">
        <v>40</v>
      </c>
      <c r="P69" s="31"/>
      <c r="Q69" s="31"/>
      <c r="R69" s="120">
        <v>43.57</v>
      </c>
      <c r="S69" s="31"/>
      <c r="T69" s="31"/>
      <c r="U69" s="277" t="s">
        <v>325</v>
      </c>
      <c r="V69" s="271" t="s">
        <v>325</v>
      </c>
      <c r="W69" s="31"/>
      <c r="X69" s="120">
        <v>0</v>
      </c>
      <c r="Y69" s="35"/>
    </row>
    <row r="70" spans="1:25" ht="13.5" customHeight="1">
      <c r="A70" s="270">
        <v>4794009102</v>
      </c>
      <c r="B70" s="323" t="s">
        <v>323</v>
      </c>
      <c r="C70" s="119" t="s">
        <v>162</v>
      </c>
      <c r="D70" s="271" t="s">
        <v>325</v>
      </c>
      <c r="E70" s="119" t="s">
        <v>255</v>
      </c>
      <c r="F70" s="119" t="s">
        <v>163</v>
      </c>
      <c r="G70" s="120">
        <v>315.39999999999998</v>
      </c>
      <c r="H70" s="120">
        <v>131.91</v>
      </c>
      <c r="I70" s="120">
        <v>183.49</v>
      </c>
      <c r="J70" s="121">
        <v>41598</v>
      </c>
      <c r="K70" s="121">
        <v>41593</v>
      </c>
      <c r="L70" s="272">
        <v>29</v>
      </c>
      <c r="M70" s="119" t="s">
        <v>327</v>
      </c>
      <c r="N70" s="119" t="s">
        <v>164</v>
      </c>
      <c r="O70" s="122">
        <v>1164</v>
      </c>
      <c r="P70" s="31"/>
      <c r="Q70" s="31"/>
      <c r="R70" s="120">
        <v>156.99</v>
      </c>
      <c r="S70" s="121">
        <v>41593</v>
      </c>
      <c r="T70" s="122">
        <v>28</v>
      </c>
      <c r="U70" s="272" t="s">
        <v>327</v>
      </c>
      <c r="V70" s="119" t="s">
        <v>165</v>
      </c>
      <c r="W70" s="122">
        <v>4</v>
      </c>
      <c r="X70" s="120">
        <v>26.5</v>
      </c>
      <c r="Y70" s="35"/>
    </row>
    <row r="71" spans="1:25" ht="13.5" customHeight="1">
      <c r="A71" s="270">
        <v>5048811100</v>
      </c>
      <c r="B71" s="323" t="s">
        <v>323</v>
      </c>
      <c r="C71" s="119" t="s">
        <v>83</v>
      </c>
      <c r="D71" s="271" t="s">
        <v>325</v>
      </c>
      <c r="E71" s="119" t="s">
        <v>326</v>
      </c>
      <c r="F71" s="271" t="s">
        <v>325</v>
      </c>
      <c r="G71" s="120">
        <v>35.380000000000003</v>
      </c>
      <c r="H71" s="120">
        <v>0</v>
      </c>
      <c r="I71" s="120">
        <v>35.380000000000003</v>
      </c>
      <c r="J71" s="121">
        <v>41620</v>
      </c>
      <c r="K71" s="121">
        <v>41617</v>
      </c>
      <c r="L71" s="272">
        <v>32</v>
      </c>
      <c r="M71" s="119" t="s">
        <v>327</v>
      </c>
      <c r="N71" s="119" t="s">
        <v>167</v>
      </c>
      <c r="O71" s="122">
        <v>245</v>
      </c>
      <c r="P71" s="31"/>
      <c r="Q71" s="31"/>
      <c r="R71" s="120">
        <v>35.380000000000003</v>
      </c>
      <c r="S71" s="31"/>
      <c r="T71" s="31"/>
      <c r="U71" s="277" t="s">
        <v>325</v>
      </c>
      <c r="V71" s="271" t="s">
        <v>325</v>
      </c>
      <c r="W71" s="31"/>
      <c r="X71" s="120">
        <v>0</v>
      </c>
      <c r="Y71" s="35"/>
    </row>
    <row r="72" spans="1:25" ht="13.5" customHeight="1">
      <c r="A72" s="270">
        <v>5293880104</v>
      </c>
      <c r="B72" s="323" t="s">
        <v>323</v>
      </c>
      <c r="C72" s="119" t="s">
        <v>168</v>
      </c>
      <c r="D72" s="271" t="s">
        <v>325</v>
      </c>
      <c r="E72" s="119" t="s">
        <v>330</v>
      </c>
      <c r="F72" s="271" t="s">
        <v>325</v>
      </c>
      <c r="G72" s="120">
        <v>10891.26</v>
      </c>
      <c r="H72" s="120">
        <v>0</v>
      </c>
      <c r="I72" s="120">
        <v>10891.26</v>
      </c>
      <c r="J72" s="121">
        <v>41627</v>
      </c>
      <c r="K72" s="121">
        <v>41627</v>
      </c>
      <c r="L72" s="272">
        <v>30</v>
      </c>
      <c r="M72" s="119" t="s">
        <v>327</v>
      </c>
      <c r="N72" s="271" t="s">
        <v>325</v>
      </c>
      <c r="O72" s="122">
        <v>40977</v>
      </c>
      <c r="P72" s="31"/>
      <c r="Q72" s="31"/>
      <c r="R72" s="120">
        <v>10917.06</v>
      </c>
      <c r="S72" s="31"/>
      <c r="T72" s="31"/>
      <c r="U72" s="277" t="s">
        <v>325</v>
      </c>
      <c r="V72" s="271" t="s">
        <v>325</v>
      </c>
      <c r="W72" s="31"/>
      <c r="X72" s="120">
        <v>0</v>
      </c>
      <c r="Y72" s="35"/>
    </row>
    <row r="73" spans="1:25" ht="13.5" customHeight="1">
      <c r="A73" s="270">
        <v>5333812119</v>
      </c>
      <c r="B73" s="323" t="s">
        <v>323</v>
      </c>
      <c r="C73" s="119" t="s">
        <v>84</v>
      </c>
      <c r="D73" s="271" t="s">
        <v>325</v>
      </c>
      <c r="E73" s="119" t="s">
        <v>326</v>
      </c>
      <c r="F73" s="271" t="s">
        <v>325</v>
      </c>
      <c r="G73" s="120">
        <v>42.79</v>
      </c>
      <c r="H73" s="120">
        <v>0</v>
      </c>
      <c r="I73" s="120">
        <v>42.79</v>
      </c>
      <c r="J73" s="121">
        <v>41627</v>
      </c>
      <c r="K73" s="121">
        <v>41624</v>
      </c>
      <c r="L73" s="272">
        <v>32</v>
      </c>
      <c r="M73" s="119" t="s">
        <v>327</v>
      </c>
      <c r="N73" s="119" t="s">
        <v>170</v>
      </c>
      <c r="O73" s="122">
        <v>368</v>
      </c>
      <c r="P73" s="31"/>
      <c r="Q73" s="31"/>
      <c r="R73" s="120">
        <v>42.79</v>
      </c>
      <c r="S73" s="31"/>
      <c r="T73" s="31"/>
      <c r="U73" s="277" t="s">
        <v>325</v>
      </c>
      <c r="V73" s="271" t="s">
        <v>325</v>
      </c>
      <c r="W73" s="31"/>
      <c r="X73" s="120">
        <v>0</v>
      </c>
      <c r="Y73" s="35"/>
    </row>
    <row r="74" spans="1:25" ht="13.5" customHeight="1">
      <c r="A74" s="270">
        <v>5513812108</v>
      </c>
      <c r="B74" s="323" t="s">
        <v>323</v>
      </c>
      <c r="C74" s="119" t="s">
        <v>85</v>
      </c>
      <c r="D74" s="271" t="s">
        <v>325</v>
      </c>
      <c r="E74" s="119" t="s">
        <v>332</v>
      </c>
      <c r="F74" s="271" t="s">
        <v>325</v>
      </c>
      <c r="G74" s="120">
        <v>176.62</v>
      </c>
      <c r="H74" s="120">
        <v>0</v>
      </c>
      <c r="I74" s="120">
        <v>176.62</v>
      </c>
      <c r="J74" s="121">
        <v>41627</v>
      </c>
      <c r="K74" s="121">
        <v>41624</v>
      </c>
      <c r="L74" s="272">
        <v>32</v>
      </c>
      <c r="M74" s="119" t="s">
        <v>327</v>
      </c>
      <c r="N74" s="119" t="s">
        <v>114</v>
      </c>
      <c r="O74" s="122">
        <v>2096</v>
      </c>
      <c r="P74" s="122">
        <v>10.6</v>
      </c>
      <c r="Q74" s="122">
        <v>0.25746855345911951</v>
      </c>
      <c r="R74" s="120">
        <v>176.62</v>
      </c>
      <c r="S74" s="31"/>
      <c r="T74" s="31"/>
      <c r="U74" s="277" t="s">
        <v>325</v>
      </c>
      <c r="V74" s="271" t="s">
        <v>325</v>
      </c>
      <c r="W74" s="31"/>
      <c r="X74" s="120">
        <v>0</v>
      </c>
      <c r="Y74" s="35"/>
    </row>
    <row r="75" spans="1:25" ht="13.5" customHeight="1">
      <c r="A75" s="270">
        <v>5613808124</v>
      </c>
      <c r="B75" s="323" t="s">
        <v>323</v>
      </c>
      <c r="C75" s="119" t="s">
        <v>86</v>
      </c>
      <c r="D75" s="271" t="s">
        <v>325</v>
      </c>
      <c r="E75" s="119" t="s">
        <v>255</v>
      </c>
      <c r="F75" s="271" t="s">
        <v>325</v>
      </c>
      <c r="G75" s="120">
        <v>35.270000000000003</v>
      </c>
      <c r="H75" s="120">
        <v>0</v>
      </c>
      <c r="I75" s="120">
        <v>35.270000000000003</v>
      </c>
      <c r="J75" s="121">
        <v>41627</v>
      </c>
      <c r="K75" s="121">
        <v>41624</v>
      </c>
      <c r="L75" s="272">
        <v>31</v>
      </c>
      <c r="M75" s="119" t="s">
        <v>327</v>
      </c>
      <c r="N75" s="119" t="s">
        <v>128</v>
      </c>
      <c r="O75" s="122">
        <v>100</v>
      </c>
      <c r="P75" s="31"/>
      <c r="Q75" s="31"/>
      <c r="R75" s="120">
        <v>35.270000000000003</v>
      </c>
      <c r="S75" s="31"/>
      <c r="T75" s="31"/>
      <c r="U75" s="277" t="s">
        <v>325</v>
      </c>
      <c r="V75" s="271" t="s">
        <v>325</v>
      </c>
      <c r="W75" s="31"/>
      <c r="X75" s="120">
        <v>0</v>
      </c>
      <c r="Y75" s="35"/>
    </row>
    <row r="76" spans="1:25" ht="13.5" customHeight="1">
      <c r="A76" s="270">
        <v>5668811108</v>
      </c>
      <c r="B76" s="323" t="s">
        <v>323</v>
      </c>
      <c r="C76" s="119" t="s">
        <v>159</v>
      </c>
      <c r="D76" s="271" t="s">
        <v>325</v>
      </c>
      <c r="E76" s="119" t="s">
        <v>255</v>
      </c>
      <c r="F76" s="271" t="s">
        <v>325</v>
      </c>
      <c r="G76" s="120">
        <v>31.92</v>
      </c>
      <c r="H76" s="120">
        <v>0</v>
      </c>
      <c r="I76" s="120">
        <v>31.92</v>
      </c>
      <c r="J76" s="121">
        <v>41620</v>
      </c>
      <c r="K76" s="121">
        <v>41617</v>
      </c>
      <c r="L76" s="272">
        <v>32</v>
      </c>
      <c r="M76" s="119" t="s">
        <v>327</v>
      </c>
      <c r="N76" s="119" t="s">
        <v>174</v>
      </c>
      <c r="O76" s="122">
        <v>77</v>
      </c>
      <c r="P76" s="31"/>
      <c r="Q76" s="31"/>
      <c r="R76" s="120">
        <v>31.92</v>
      </c>
      <c r="S76" s="31"/>
      <c r="T76" s="31"/>
      <c r="U76" s="277" t="s">
        <v>325</v>
      </c>
      <c r="V76" s="271" t="s">
        <v>325</v>
      </c>
      <c r="W76" s="31"/>
      <c r="X76" s="120">
        <v>0</v>
      </c>
      <c r="Y76" s="35"/>
    </row>
    <row r="77" spans="1:25" ht="13.5" customHeight="1">
      <c r="A77" s="270">
        <v>5748811104</v>
      </c>
      <c r="B77" s="323" t="s">
        <v>323</v>
      </c>
      <c r="C77" s="119" t="s">
        <v>175</v>
      </c>
      <c r="D77" s="271" t="s">
        <v>325</v>
      </c>
      <c r="E77" s="119" t="s">
        <v>326</v>
      </c>
      <c r="F77" s="271" t="s">
        <v>325</v>
      </c>
      <c r="G77" s="120">
        <v>21.45</v>
      </c>
      <c r="H77" s="120">
        <v>0</v>
      </c>
      <c r="I77" s="120">
        <v>21.45</v>
      </c>
      <c r="J77" s="121">
        <v>41620</v>
      </c>
      <c r="K77" s="121">
        <v>41617</v>
      </c>
      <c r="L77" s="272">
        <v>32</v>
      </c>
      <c r="M77" s="119" t="s">
        <v>327</v>
      </c>
      <c r="N77" s="119" t="s">
        <v>176</v>
      </c>
      <c r="O77" s="122">
        <v>14</v>
      </c>
      <c r="P77" s="31"/>
      <c r="Q77" s="31"/>
      <c r="R77" s="120">
        <v>21.45</v>
      </c>
      <c r="S77" s="31"/>
      <c r="T77" s="31"/>
      <c r="U77" s="277" t="s">
        <v>325</v>
      </c>
      <c r="V77" s="271" t="s">
        <v>325</v>
      </c>
      <c r="W77" s="31"/>
      <c r="X77" s="120">
        <v>0</v>
      </c>
      <c r="Y77" s="35"/>
    </row>
    <row r="78" spans="1:25" ht="13.5" customHeight="1">
      <c r="A78" s="270">
        <v>5828811100</v>
      </c>
      <c r="B78" s="323" t="s">
        <v>323</v>
      </c>
      <c r="C78" s="119" t="s">
        <v>175</v>
      </c>
      <c r="D78" s="271" t="s">
        <v>325</v>
      </c>
      <c r="E78" s="119" t="s">
        <v>326</v>
      </c>
      <c r="F78" s="271" t="s">
        <v>325</v>
      </c>
      <c r="G78" s="120">
        <v>21.69</v>
      </c>
      <c r="H78" s="120">
        <v>0</v>
      </c>
      <c r="I78" s="120">
        <v>21.69</v>
      </c>
      <c r="J78" s="121">
        <v>41620</v>
      </c>
      <c r="K78" s="121">
        <v>41617</v>
      </c>
      <c r="L78" s="272">
        <v>32</v>
      </c>
      <c r="M78" s="119" t="s">
        <v>327</v>
      </c>
      <c r="N78" s="119" t="s">
        <v>177</v>
      </c>
      <c r="O78" s="122">
        <v>18</v>
      </c>
      <c r="P78" s="31"/>
      <c r="Q78" s="31"/>
      <c r="R78" s="120">
        <v>21.69</v>
      </c>
      <c r="S78" s="31"/>
      <c r="T78" s="31"/>
      <c r="U78" s="277" t="s">
        <v>325</v>
      </c>
      <c r="V78" s="271" t="s">
        <v>325</v>
      </c>
      <c r="W78" s="31"/>
      <c r="X78" s="120">
        <v>0</v>
      </c>
      <c r="Y78" s="35"/>
    </row>
    <row r="79" spans="1:25" ht="13.5" customHeight="1">
      <c r="A79" s="270">
        <v>5913814119</v>
      </c>
      <c r="B79" s="323" t="s">
        <v>323</v>
      </c>
      <c r="C79" s="119" t="s">
        <v>178</v>
      </c>
      <c r="D79" s="271" t="s">
        <v>325</v>
      </c>
      <c r="E79" s="119" t="s">
        <v>332</v>
      </c>
      <c r="F79" s="271" t="s">
        <v>325</v>
      </c>
      <c r="G79" s="120">
        <v>324.35000000000002</v>
      </c>
      <c r="H79" s="120">
        <v>0</v>
      </c>
      <c r="I79" s="120">
        <v>324.35000000000002</v>
      </c>
      <c r="J79" s="121">
        <v>41627</v>
      </c>
      <c r="K79" s="121">
        <v>41624</v>
      </c>
      <c r="L79" s="272">
        <v>32</v>
      </c>
      <c r="M79" s="119" t="s">
        <v>327</v>
      </c>
      <c r="N79" s="119" t="s">
        <v>118</v>
      </c>
      <c r="O79" s="122">
        <v>3696</v>
      </c>
      <c r="P79" s="122">
        <v>23.9</v>
      </c>
      <c r="Q79" s="122">
        <v>0.20135983263598328</v>
      </c>
      <c r="R79" s="120">
        <v>324.35000000000002</v>
      </c>
      <c r="S79" s="31"/>
      <c r="T79" s="31"/>
      <c r="U79" s="277" t="s">
        <v>325</v>
      </c>
      <c r="V79" s="271" t="s">
        <v>325</v>
      </c>
      <c r="W79" s="31"/>
      <c r="X79" s="120">
        <v>0</v>
      </c>
      <c r="Y79" s="35"/>
    </row>
    <row r="80" spans="1:25" ht="13.5" customHeight="1">
      <c r="A80" s="270">
        <v>5933814115</v>
      </c>
      <c r="B80" s="323" t="s">
        <v>323</v>
      </c>
      <c r="C80" s="119" t="s">
        <v>180</v>
      </c>
      <c r="D80" s="271" t="s">
        <v>325</v>
      </c>
      <c r="E80" s="119" t="s">
        <v>332</v>
      </c>
      <c r="F80" s="271" t="s">
        <v>325</v>
      </c>
      <c r="G80" s="120">
        <v>183.45</v>
      </c>
      <c r="H80" s="120">
        <v>0</v>
      </c>
      <c r="I80" s="120">
        <v>183.45</v>
      </c>
      <c r="J80" s="121">
        <v>41627</v>
      </c>
      <c r="K80" s="121">
        <v>41624</v>
      </c>
      <c r="L80" s="272">
        <v>32</v>
      </c>
      <c r="M80" s="119" t="s">
        <v>327</v>
      </c>
      <c r="N80" s="119" t="s">
        <v>181</v>
      </c>
      <c r="O80" s="122">
        <v>5514</v>
      </c>
      <c r="P80" s="122">
        <v>8.5</v>
      </c>
      <c r="Q80" s="122">
        <v>0.84466911764705888</v>
      </c>
      <c r="R80" s="120">
        <v>183.45</v>
      </c>
      <c r="S80" s="31"/>
      <c r="T80" s="31"/>
      <c r="U80" s="277" t="s">
        <v>325</v>
      </c>
      <c r="V80" s="271" t="s">
        <v>325</v>
      </c>
      <c r="W80" s="31"/>
      <c r="X80" s="120">
        <v>0</v>
      </c>
      <c r="Y80" s="35"/>
    </row>
    <row r="81" spans="1:25" ht="13.5" customHeight="1">
      <c r="A81" s="270">
        <v>6053820112</v>
      </c>
      <c r="B81" s="323" t="s">
        <v>323</v>
      </c>
      <c r="C81" s="119" t="s">
        <v>182</v>
      </c>
      <c r="D81" s="271" t="s">
        <v>325</v>
      </c>
      <c r="E81" s="119" t="s">
        <v>326</v>
      </c>
      <c r="F81" s="271" t="s">
        <v>325</v>
      </c>
      <c r="G81" s="120">
        <v>22.43</v>
      </c>
      <c r="H81" s="120">
        <v>0</v>
      </c>
      <c r="I81" s="120">
        <v>22.43</v>
      </c>
      <c r="J81" s="121">
        <v>41627</v>
      </c>
      <c r="K81" s="121">
        <v>41624</v>
      </c>
      <c r="L81" s="272">
        <v>32</v>
      </c>
      <c r="M81" s="119" t="s">
        <v>327</v>
      </c>
      <c r="N81" s="119" t="s">
        <v>183</v>
      </c>
      <c r="O81" s="122">
        <v>30</v>
      </c>
      <c r="P81" s="31"/>
      <c r="Q81" s="31"/>
      <c r="R81" s="120">
        <v>22.43</v>
      </c>
      <c r="S81" s="31"/>
      <c r="T81" s="31"/>
      <c r="U81" s="277" t="s">
        <v>325</v>
      </c>
      <c r="V81" s="271" t="s">
        <v>325</v>
      </c>
      <c r="W81" s="31"/>
      <c r="X81" s="120">
        <v>0</v>
      </c>
      <c r="Y81" s="35"/>
    </row>
    <row r="82" spans="1:25" ht="13.5" customHeight="1">
      <c r="A82" s="270">
        <v>6173817104</v>
      </c>
      <c r="B82" s="323" t="s">
        <v>323</v>
      </c>
      <c r="C82" s="119" t="s">
        <v>184</v>
      </c>
      <c r="D82" s="271" t="s">
        <v>325</v>
      </c>
      <c r="E82" s="119" t="s">
        <v>326</v>
      </c>
      <c r="F82" s="271" t="s">
        <v>325</v>
      </c>
      <c r="G82" s="120">
        <v>44.78</v>
      </c>
      <c r="H82" s="120">
        <v>0</v>
      </c>
      <c r="I82" s="120">
        <v>44.78</v>
      </c>
      <c r="J82" s="121">
        <v>41627</v>
      </c>
      <c r="K82" s="121">
        <v>41624</v>
      </c>
      <c r="L82" s="272">
        <v>32</v>
      </c>
      <c r="M82" s="119" t="s">
        <v>327</v>
      </c>
      <c r="N82" s="119" t="s">
        <v>185</v>
      </c>
      <c r="O82" s="122">
        <v>401</v>
      </c>
      <c r="P82" s="31"/>
      <c r="Q82" s="31"/>
      <c r="R82" s="120">
        <v>44.78</v>
      </c>
      <c r="S82" s="31"/>
      <c r="T82" s="31"/>
      <c r="U82" s="277" t="s">
        <v>325</v>
      </c>
      <c r="V82" s="271" t="s">
        <v>325</v>
      </c>
      <c r="W82" s="31"/>
      <c r="X82" s="120">
        <v>0</v>
      </c>
      <c r="Y82" s="35"/>
    </row>
    <row r="83" spans="1:25" ht="13.5" customHeight="1">
      <c r="A83" s="270">
        <v>6368810106</v>
      </c>
      <c r="B83" s="323" t="s">
        <v>323</v>
      </c>
      <c r="C83" s="119" t="s">
        <v>186</v>
      </c>
      <c r="D83" s="271" t="s">
        <v>325</v>
      </c>
      <c r="E83" s="119" t="s">
        <v>332</v>
      </c>
      <c r="F83" s="271" t="s">
        <v>325</v>
      </c>
      <c r="G83" s="120">
        <v>80.62</v>
      </c>
      <c r="H83" s="120">
        <v>0</v>
      </c>
      <c r="I83" s="120">
        <v>80.62</v>
      </c>
      <c r="J83" s="121">
        <v>41620</v>
      </c>
      <c r="K83" s="121">
        <v>41617</v>
      </c>
      <c r="L83" s="272">
        <v>33</v>
      </c>
      <c r="M83" s="119" t="s">
        <v>327</v>
      </c>
      <c r="N83" s="119" t="s">
        <v>187</v>
      </c>
      <c r="O83" s="122">
        <v>102</v>
      </c>
      <c r="P83" s="122">
        <v>2.7</v>
      </c>
      <c r="Q83" s="122">
        <v>4.7699214365881037E-2</v>
      </c>
      <c r="R83" s="120">
        <v>80.62</v>
      </c>
      <c r="S83" s="31"/>
      <c r="T83" s="31"/>
      <c r="U83" s="277" t="s">
        <v>325</v>
      </c>
      <c r="V83" s="271" t="s">
        <v>325</v>
      </c>
      <c r="W83" s="31"/>
      <c r="X83" s="120">
        <v>0</v>
      </c>
      <c r="Y83" s="35"/>
    </row>
    <row r="84" spans="1:25" ht="13.5" customHeight="1">
      <c r="A84" s="270">
        <v>6853819124</v>
      </c>
      <c r="B84" s="323" t="s">
        <v>323</v>
      </c>
      <c r="C84" s="119" t="s">
        <v>87</v>
      </c>
      <c r="D84" s="271" t="s">
        <v>325</v>
      </c>
      <c r="E84" s="119" t="s">
        <v>255</v>
      </c>
      <c r="F84" s="271" t="s">
        <v>325</v>
      </c>
      <c r="G84" s="120">
        <v>30.01</v>
      </c>
      <c r="H84" s="120">
        <v>0</v>
      </c>
      <c r="I84" s="120">
        <v>30.01</v>
      </c>
      <c r="J84" s="121">
        <v>41627</v>
      </c>
      <c r="K84" s="121">
        <v>41624</v>
      </c>
      <c r="L84" s="272">
        <v>31</v>
      </c>
      <c r="M84" s="119" t="s">
        <v>327</v>
      </c>
      <c r="N84" s="119" t="s">
        <v>189</v>
      </c>
      <c r="O84" s="122">
        <v>64</v>
      </c>
      <c r="P84" s="31"/>
      <c r="Q84" s="31"/>
      <c r="R84" s="120">
        <v>30.01</v>
      </c>
      <c r="S84" s="31"/>
      <c r="T84" s="31"/>
      <c r="U84" s="277" t="s">
        <v>325</v>
      </c>
      <c r="V84" s="271" t="s">
        <v>325</v>
      </c>
      <c r="W84" s="31"/>
      <c r="X84" s="120">
        <v>0</v>
      </c>
      <c r="Y84" s="35"/>
    </row>
    <row r="85" spans="1:25" ht="13.5" customHeight="1">
      <c r="A85" s="270">
        <v>6857311003</v>
      </c>
      <c r="B85" s="323" t="s">
        <v>323</v>
      </c>
      <c r="C85" s="119" t="s">
        <v>50</v>
      </c>
      <c r="D85" s="271" t="s">
        <v>325</v>
      </c>
      <c r="E85" s="119" t="s">
        <v>255</v>
      </c>
      <c r="F85" s="271" t="s">
        <v>325</v>
      </c>
      <c r="G85" s="120">
        <v>21.63</v>
      </c>
      <c r="H85" s="120">
        <v>0</v>
      </c>
      <c r="I85" s="120">
        <v>21.63</v>
      </c>
      <c r="J85" s="121">
        <v>41627</v>
      </c>
      <c r="K85" s="121">
        <v>41624</v>
      </c>
      <c r="L85" s="272">
        <v>32</v>
      </c>
      <c r="M85" s="119" t="s">
        <v>327</v>
      </c>
      <c r="N85" s="119" t="s">
        <v>191</v>
      </c>
      <c r="O85" s="122">
        <v>4</v>
      </c>
      <c r="P85" s="31"/>
      <c r="Q85" s="31"/>
      <c r="R85" s="120">
        <v>21.63</v>
      </c>
      <c r="S85" s="31"/>
      <c r="T85" s="31"/>
      <c r="U85" s="277" t="s">
        <v>325</v>
      </c>
      <c r="V85" s="271" t="s">
        <v>325</v>
      </c>
      <c r="W85" s="31"/>
      <c r="X85" s="120">
        <v>0</v>
      </c>
      <c r="Y85" s="35"/>
    </row>
    <row r="86" spans="1:25" ht="13.5" customHeight="1">
      <c r="A86" s="270">
        <v>7312015014</v>
      </c>
      <c r="B86" s="323" t="s">
        <v>323</v>
      </c>
      <c r="C86" s="119" t="s">
        <v>192</v>
      </c>
      <c r="D86" s="271" t="s">
        <v>325</v>
      </c>
      <c r="E86" s="119" t="s">
        <v>326</v>
      </c>
      <c r="F86" s="271" t="s">
        <v>325</v>
      </c>
      <c r="G86" s="120">
        <v>25.75</v>
      </c>
      <c r="H86" s="120">
        <v>0</v>
      </c>
      <c r="I86" s="120">
        <v>25.75</v>
      </c>
      <c r="J86" s="121">
        <v>41620</v>
      </c>
      <c r="K86" s="121">
        <v>41617</v>
      </c>
      <c r="L86" s="272">
        <v>32</v>
      </c>
      <c r="M86" s="119" t="s">
        <v>327</v>
      </c>
      <c r="N86" s="119" t="s">
        <v>193</v>
      </c>
      <c r="O86" s="122">
        <v>85</v>
      </c>
      <c r="P86" s="31"/>
      <c r="Q86" s="31"/>
      <c r="R86" s="120">
        <v>25.75</v>
      </c>
      <c r="S86" s="31"/>
      <c r="T86" s="31"/>
      <c r="U86" s="277" t="s">
        <v>325</v>
      </c>
      <c r="V86" s="271" t="s">
        <v>325</v>
      </c>
      <c r="W86" s="31"/>
      <c r="X86" s="120">
        <v>0</v>
      </c>
      <c r="Y86" s="35"/>
    </row>
    <row r="87" spans="1:25" ht="13.5" customHeight="1">
      <c r="A87" s="270">
        <v>8193819106</v>
      </c>
      <c r="B87" s="323" t="s">
        <v>323</v>
      </c>
      <c r="C87" s="119" t="s">
        <v>51</v>
      </c>
      <c r="D87" s="271" t="s">
        <v>325</v>
      </c>
      <c r="E87" s="271" t="s">
        <v>325</v>
      </c>
      <c r="F87" s="119" t="s">
        <v>335</v>
      </c>
      <c r="G87" s="120">
        <v>538.87</v>
      </c>
      <c r="H87" s="120">
        <v>0</v>
      </c>
      <c r="I87" s="120">
        <v>538.87</v>
      </c>
      <c r="J87" s="121">
        <v>41627</v>
      </c>
      <c r="K87" s="31"/>
      <c r="L87" s="255"/>
      <c r="M87" s="271" t="s">
        <v>325</v>
      </c>
      <c r="N87" s="271" t="s">
        <v>325</v>
      </c>
      <c r="O87" s="31"/>
      <c r="P87" s="31"/>
      <c r="Q87" s="31"/>
      <c r="R87" s="120">
        <v>0</v>
      </c>
      <c r="S87" s="121">
        <v>41624</v>
      </c>
      <c r="T87" s="122">
        <v>32</v>
      </c>
      <c r="U87" s="272" t="s">
        <v>327</v>
      </c>
      <c r="V87" s="119" t="s">
        <v>88</v>
      </c>
      <c r="W87" s="122">
        <v>2298</v>
      </c>
      <c r="X87" s="120">
        <v>538.87</v>
      </c>
      <c r="Y87" s="35"/>
    </row>
    <row r="88" spans="1:25" ht="13.5" customHeight="1">
      <c r="A88" s="270">
        <v>8714009102</v>
      </c>
      <c r="B88" s="323" t="s">
        <v>323</v>
      </c>
      <c r="C88" s="119" t="s">
        <v>89</v>
      </c>
      <c r="D88" s="271" t="s">
        <v>325</v>
      </c>
      <c r="E88" s="119" t="s">
        <v>326</v>
      </c>
      <c r="F88" s="119" t="s">
        <v>163</v>
      </c>
      <c r="G88" s="120">
        <v>163.29</v>
      </c>
      <c r="H88" s="120">
        <v>82.39</v>
      </c>
      <c r="I88" s="120">
        <v>80.900000000000006</v>
      </c>
      <c r="J88" s="121">
        <v>41598</v>
      </c>
      <c r="K88" s="121">
        <v>41593</v>
      </c>
      <c r="L88" s="272">
        <v>29</v>
      </c>
      <c r="M88" s="119" t="s">
        <v>327</v>
      </c>
      <c r="N88" s="119" t="s">
        <v>90</v>
      </c>
      <c r="O88" s="122">
        <v>609</v>
      </c>
      <c r="P88" s="31"/>
      <c r="Q88" s="31"/>
      <c r="R88" s="120">
        <v>54.4</v>
      </c>
      <c r="S88" s="121">
        <v>41593</v>
      </c>
      <c r="T88" s="122">
        <v>28</v>
      </c>
      <c r="U88" s="272" t="s">
        <v>327</v>
      </c>
      <c r="V88" s="119" t="s">
        <v>91</v>
      </c>
      <c r="W88" s="122">
        <v>4</v>
      </c>
      <c r="X88" s="120">
        <v>26.5</v>
      </c>
      <c r="Y88" s="35"/>
    </row>
    <row r="89" spans="1:25" ht="13.5" customHeight="1">
      <c r="A89" s="270">
        <v>8993882105</v>
      </c>
      <c r="B89" s="323" t="s">
        <v>323</v>
      </c>
      <c r="C89" s="119" t="s">
        <v>92</v>
      </c>
      <c r="D89" s="271" t="s">
        <v>325</v>
      </c>
      <c r="E89" s="119" t="s">
        <v>330</v>
      </c>
      <c r="F89" s="271" t="s">
        <v>325</v>
      </c>
      <c r="G89" s="120">
        <v>98.09</v>
      </c>
      <c r="H89" s="120">
        <v>0</v>
      </c>
      <c r="I89" s="120">
        <v>98.09</v>
      </c>
      <c r="J89" s="121">
        <v>41627</v>
      </c>
      <c r="K89" s="121">
        <v>41627</v>
      </c>
      <c r="L89" s="272">
        <v>30</v>
      </c>
      <c r="M89" s="119" t="s">
        <v>327</v>
      </c>
      <c r="N89" s="271" t="s">
        <v>325</v>
      </c>
      <c r="O89" s="122">
        <v>103</v>
      </c>
      <c r="P89" s="31"/>
      <c r="Q89" s="31"/>
      <c r="R89" s="120">
        <v>98.09</v>
      </c>
      <c r="S89" s="31"/>
      <c r="T89" s="31"/>
      <c r="U89" s="277" t="s">
        <v>325</v>
      </c>
      <c r="V89" s="271" t="s">
        <v>325</v>
      </c>
      <c r="W89" s="31"/>
      <c r="X89" s="120">
        <v>0</v>
      </c>
      <c r="Y89" s="35"/>
    </row>
    <row r="90" spans="1:25" ht="13.5" customHeight="1">
      <c r="A90" s="270">
        <v>9308810101</v>
      </c>
      <c r="B90" s="323" t="s">
        <v>323</v>
      </c>
      <c r="C90" s="119" t="s">
        <v>337</v>
      </c>
      <c r="D90" s="271" t="s">
        <v>325</v>
      </c>
      <c r="E90" s="271" t="s">
        <v>325</v>
      </c>
      <c r="F90" s="119" t="s">
        <v>335</v>
      </c>
      <c r="G90" s="120">
        <v>85.41</v>
      </c>
      <c r="H90" s="120">
        <v>0</v>
      </c>
      <c r="I90" s="120">
        <v>85.41</v>
      </c>
      <c r="J90" s="121">
        <v>41620</v>
      </c>
      <c r="K90" s="31"/>
      <c r="L90" s="255"/>
      <c r="M90" s="271" t="s">
        <v>325</v>
      </c>
      <c r="N90" s="271" t="s">
        <v>325</v>
      </c>
      <c r="O90" s="31"/>
      <c r="P90" s="31"/>
      <c r="Q90" s="31"/>
      <c r="R90" s="120">
        <v>0</v>
      </c>
      <c r="S90" s="121">
        <v>41617</v>
      </c>
      <c r="T90" s="122">
        <v>32</v>
      </c>
      <c r="U90" s="272" t="s">
        <v>327</v>
      </c>
      <c r="V90" s="119" t="s">
        <v>93</v>
      </c>
      <c r="W90" s="122">
        <v>191</v>
      </c>
      <c r="X90" s="120">
        <v>85.41</v>
      </c>
      <c r="Y90" s="35"/>
    </row>
    <row r="91" spans="1:25" ht="13.5" customHeight="1">
      <c r="A91" s="270">
        <v>9428808118</v>
      </c>
      <c r="B91" s="323" t="s">
        <v>323</v>
      </c>
      <c r="C91" s="119" t="s">
        <v>94</v>
      </c>
      <c r="D91" s="271" t="s">
        <v>325</v>
      </c>
      <c r="E91" s="271" t="s">
        <v>325</v>
      </c>
      <c r="F91" s="119" t="s">
        <v>236</v>
      </c>
      <c r="G91" s="120">
        <v>21.9</v>
      </c>
      <c r="H91" s="120">
        <v>0</v>
      </c>
      <c r="I91" s="120">
        <v>21.9</v>
      </c>
      <c r="J91" s="121">
        <v>41620</v>
      </c>
      <c r="K91" s="31"/>
      <c r="L91" s="255"/>
      <c r="M91" s="271" t="s">
        <v>325</v>
      </c>
      <c r="N91" s="271" t="s">
        <v>325</v>
      </c>
      <c r="O91" s="31"/>
      <c r="P91" s="31"/>
      <c r="Q91" s="31"/>
      <c r="R91" s="120">
        <v>0</v>
      </c>
      <c r="S91" s="121">
        <v>41617</v>
      </c>
      <c r="T91" s="122">
        <v>33</v>
      </c>
      <c r="U91" s="272" t="s">
        <v>240</v>
      </c>
      <c r="V91" s="119" t="s">
        <v>97</v>
      </c>
      <c r="W91" s="122">
        <v>3</v>
      </c>
      <c r="X91" s="120">
        <v>21.9</v>
      </c>
      <c r="Y91" s="35"/>
    </row>
    <row r="92" spans="1:25" ht="13.5" customHeight="1">
      <c r="A92" s="270">
        <v>9488810107</v>
      </c>
      <c r="B92" s="323" t="s">
        <v>323</v>
      </c>
      <c r="C92" s="119" t="s">
        <v>337</v>
      </c>
      <c r="D92" s="271" t="s">
        <v>325</v>
      </c>
      <c r="E92" s="119" t="s">
        <v>332</v>
      </c>
      <c r="F92" s="271" t="s">
        <v>325</v>
      </c>
      <c r="G92" s="120">
        <v>2960.88</v>
      </c>
      <c r="H92" s="120">
        <v>0</v>
      </c>
      <c r="I92" s="120">
        <v>2960.88</v>
      </c>
      <c r="J92" s="121">
        <v>41621</v>
      </c>
      <c r="K92" s="121">
        <v>41617</v>
      </c>
      <c r="L92" s="272">
        <v>33</v>
      </c>
      <c r="M92" s="119" t="s">
        <v>327</v>
      </c>
      <c r="N92" s="119" t="s">
        <v>134</v>
      </c>
      <c r="O92" s="122">
        <v>1600</v>
      </c>
      <c r="P92" s="122">
        <v>177.6</v>
      </c>
      <c r="Q92" s="122">
        <v>1.1375011375011377E-2</v>
      </c>
      <c r="R92" s="120">
        <v>1885.55</v>
      </c>
      <c r="S92" s="31"/>
      <c r="T92" s="31"/>
      <c r="U92" s="277" t="s">
        <v>325</v>
      </c>
      <c r="V92" s="271" t="s">
        <v>325</v>
      </c>
      <c r="W92" s="31"/>
      <c r="X92" s="120">
        <v>0</v>
      </c>
      <c r="Y92" s="35"/>
    </row>
    <row r="93" spans="1:25" ht="13.5" customHeight="1">
      <c r="A93" s="270">
        <v>9529017113</v>
      </c>
      <c r="B93" s="323" t="s">
        <v>323</v>
      </c>
      <c r="C93" s="119" t="s">
        <v>99</v>
      </c>
      <c r="D93" s="271" t="s">
        <v>325</v>
      </c>
      <c r="E93" s="119" t="s">
        <v>326</v>
      </c>
      <c r="F93" s="271" t="s">
        <v>325</v>
      </c>
      <c r="G93" s="120">
        <v>20.62</v>
      </c>
      <c r="H93" s="120">
        <v>0</v>
      </c>
      <c r="I93" s="120">
        <v>20.62</v>
      </c>
      <c r="J93" s="121">
        <v>41621</v>
      </c>
      <c r="K93" s="121">
        <v>41619</v>
      </c>
      <c r="L93" s="272">
        <v>34</v>
      </c>
      <c r="M93" s="119" t="s">
        <v>327</v>
      </c>
      <c r="N93" s="119" t="s">
        <v>100</v>
      </c>
      <c r="O93" s="122">
        <v>0</v>
      </c>
      <c r="P93" s="31"/>
      <c r="Q93" s="31"/>
      <c r="R93" s="120">
        <v>20.62</v>
      </c>
      <c r="S93" s="31"/>
      <c r="T93" s="31"/>
      <c r="U93" s="277" t="s">
        <v>325</v>
      </c>
      <c r="V93" s="271" t="s">
        <v>325</v>
      </c>
      <c r="W93" s="31"/>
      <c r="X93" s="120">
        <v>0</v>
      </c>
      <c r="Y93" s="35"/>
    </row>
    <row r="94" spans="1:25" ht="13.5" customHeight="1">
      <c r="A94" s="270">
        <v>9753819107</v>
      </c>
      <c r="B94" s="323" t="s">
        <v>323</v>
      </c>
      <c r="C94" s="119" t="s">
        <v>52</v>
      </c>
      <c r="D94" s="271" t="s">
        <v>325</v>
      </c>
      <c r="E94" s="119" t="s">
        <v>332</v>
      </c>
      <c r="F94" s="119" t="s">
        <v>277</v>
      </c>
      <c r="G94" s="120">
        <v>1075.54</v>
      </c>
      <c r="H94" s="120">
        <v>0</v>
      </c>
      <c r="I94" s="120">
        <v>1075.54</v>
      </c>
      <c r="J94" s="121">
        <v>41627</v>
      </c>
      <c r="K94" s="121">
        <v>41627</v>
      </c>
      <c r="L94" s="272">
        <v>31</v>
      </c>
      <c r="M94" s="119" t="s">
        <v>327</v>
      </c>
      <c r="N94" s="119" t="s">
        <v>102</v>
      </c>
      <c r="O94" s="122">
        <v>13760</v>
      </c>
      <c r="P94" s="122">
        <v>38.4</v>
      </c>
      <c r="Q94" s="122">
        <v>0.48163082437275989</v>
      </c>
      <c r="R94" s="120">
        <v>551.26</v>
      </c>
      <c r="S94" s="121">
        <v>41624</v>
      </c>
      <c r="T94" s="122">
        <v>32</v>
      </c>
      <c r="U94" s="272" t="s">
        <v>327</v>
      </c>
      <c r="V94" s="119" t="s">
        <v>103</v>
      </c>
      <c r="W94" s="122">
        <v>697</v>
      </c>
      <c r="X94" s="120">
        <v>524.28</v>
      </c>
      <c r="Y94" s="35"/>
    </row>
    <row r="95" spans="1:25" ht="13.5" customHeight="1">
      <c r="A95" s="270">
        <v>9753820119</v>
      </c>
      <c r="B95" s="323" t="s">
        <v>323</v>
      </c>
      <c r="C95" s="119" t="s">
        <v>104</v>
      </c>
      <c r="D95" s="271" t="s">
        <v>325</v>
      </c>
      <c r="E95" s="119" t="s">
        <v>326</v>
      </c>
      <c r="F95" s="271" t="s">
        <v>325</v>
      </c>
      <c r="G95" s="120">
        <v>23.21</v>
      </c>
      <c r="H95" s="120">
        <v>0</v>
      </c>
      <c r="I95" s="120">
        <v>23.21</v>
      </c>
      <c r="J95" s="121">
        <v>41627</v>
      </c>
      <c r="K95" s="121">
        <v>41624</v>
      </c>
      <c r="L95" s="272">
        <v>32</v>
      </c>
      <c r="M95" s="119" t="s">
        <v>327</v>
      </c>
      <c r="N95" s="119" t="s">
        <v>105</v>
      </c>
      <c r="O95" s="122">
        <v>43</v>
      </c>
      <c r="P95" s="31"/>
      <c r="Q95" s="31"/>
      <c r="R95" s="120">
        <v>23.21</v>
      </c>
      <c r="S95" s="31"/>
      <c r="T95" s="31"/>
      <c r="U95" s="277" t="s">
        <v>325</v>
      </c>
      <c r="V95" s="271" t="s">
        <v>325</v>
      </c>
      <c r="W95" s="31"/>
      <c r="X95" s="120">
        <v>0</v>
      </c>
      <c r="Y95" s="35"/>
    </row>
    <row r="96" spans="1:25" ht="13.5" customHeight="1">
      <c r="A96" s="270">
        <v>9953820104</v>
      </c>
      <c r="B96" s="323" t="s">
        <v>323</v>
      </c>
      <c r="C96" s="119" t="s">
        <v>53</v>
      </c>
      <c r="D96" s="271" t="s">
        <v>325</v>
      </c>
      <c r="E96" s="119" t="s">
        <v>326</v>
      </c>
      <c r="F96" s="271" t="s">
        <v>325</v>
      </c>
      <c r="G96" s="120">
        <v>27.79</v>
      </c>
      <c r="H96" s="120">
        <v>0</v>
      </c>
      <c r="I96" s="120">
        <v>27.79</v>
      </c>
      <c r="J96" s="121">
        <v>41627</v>
      </c>
      <c r="K96" s="121">
        <v>41624</v>
      </c>
      <c r="L96" s="272">
        <v>32</v>
      </c>
      <c r="M96" s="119" t="s">
        <v>327</v>
      </c>
      <c r="N96" s="119" t="s">
        <v>107</v>
      </c>
      <c r="O96" s="122">
        <v>119</v>
      </c>
      <c r="P96" s="31"/>
      <c r="Q96" s="31"/>
      <c r="R96" s="120">
        <v>27.79</v>
      </c>
      <c r="S96" s="31"/>
      <c r="T96" s="31"/>
      <c r="U96" s="277" t="s">
        <v>325</v>
      </c>
      <c r="V96" s="271" t="s">
        <v>325</v>
      </c>
      <c r="W96" s="31"/>
      <c r="X96" s="120">
        <v>0</v>
      </c>
      <c r="Y96" s="35"/>
    </row>
    <row r="97" spans="1:25">
      <c r="A97" s="31"/>
      <c r="C97" s="31"/>
      <c r="D97" s="31"/>
      <c r="E97" s="31"/>
      <c r="F97" s="31"/>
      <c r="G97" s="31"/>
      <c r="H97" s="88"/>
      <c r="I97" s="88"/>
      <c r="J97" s="88"/>
      <c r="K97" s="31"/>
      <c r="L97" s="31"/>
      <c r="M97" s="255"/>
      <c r="N97" s="31"/>
      <c r="O97" s="31"/>
      <c r="P97" s="31"/>
      <c r="Q97" s="31"/>
      <c r="R97" s="31"/>
      <c r="S97" s="88"/>
      <c r="T97" s="31"/>
      <c r="U97" s="31"/>
      <c r="V97" s="255"/>
      <c r="W97" s="31"/>
      <c r="X97" s="31"/>
      <c r="Y97" s="88"/>
    </row>
    <row r="98" spans="1:25">
      <c r="A98" s="31"/>
      <c r="C98" s="31"/>
      <c r="D98" s="31"/>
      <c r="E98" s="31"/>
      <c r="F98" s="31"/>
      <c r="G98" s="31"/>
      <c r="H98" s="88"/>
      <c r="I98" s="124">
        <f>SUM(I15:I97)</f>
        <v>23831.629999999997</v>
      </c>
      <c r="J98" s="88">
        <f>SUM(J15:J97)</f>
        <v>3413069</v>
      </c>
      <c r="K98" s="31"/>
      <c r="L98" s="31"/>
      <c r="M98" s="255"/>
      <c r="N98" s="31"/>
      <c r="O98" s="31"/>
      <c r="P98" s="31"/>
      <c r="Q98" s="31"/>
      <c r="R98" s="31"/>
      <c r="S98" s="88"/>
      <c r="T98" s="31"/>
      <c r="U98" s="31"/>
      <c r="V98" s="255"/>
      <c r="W98" s="31"/>
      <c r="X98" s="31"/>
      <c r="Y98" s="88"/>
    </row>
    <row r="99" spans="1:25">
      <c r="A99" s="31"/>
      <c r="C99" s="31"/>
      <c r="D99" s="31"/>
      <c r="E99" s="31"/>
      <c r="F99" s="31"/>
      <c r="G99" s="31"/>
      <c r="H99" s="88"/>
      <c r="I99" s="88"/>
      <c r="J99" s="88"/>
      <c r="K99" s="31"/>
      <c r="L99" s="31"/>
      <c r="M99" s="255"/>
      <c r="N99" s="31"/>
      <c r="O99" s="31"/>
      <c r="P99" s="31"/>
      <c r="Q99" s="31"/>
      <c r="R99" s="31"/>
      <c r="S99" s="88"/>
      <c r="T99" s="31"/>
      <c r="U99" s="31"/>
      <c r="V99" s="255"/>
      <c r="W99" s="31"/>
      <c r="X99" s="31"/>
      <c r="Y99" s="88"/>
    </row>
  </sheetData>
  <mergeCells count="3">
    <mergeCell ref="A5:E5"/>
    <mergeCell ref="A6:E6"/>
    <mergeCell ref="A11:B11"/>
  </mergeCells>
  <phoneticPr fontId="7" type="noConversion"/>
  <pageMargins left="0.25" right="0.25"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4"/>
  <sheetViews>
    <sheetView topLeftCell="A4" workbookViewId="0">
      <pane ySplit="11" topLeftCell="A70" activePane="bottomLeft" state="frozen"/>
      <selection activeCell="A4" sqref="A4"/>
      <selection pane="bottomLeft" activeCell="M98" sqref="M98"/>
    </sheetView>
  </sheetViews>
  <sheetFormatPr baseColWidth="10" defaultColWidth="8.83203125" defaultRowHeight="14" x14ac:dyDescent="0"/>
  <cols>
    <col min="1" max="1" width="8.33203125" style="467" customWidth="1"/>
    <col min="2" max="2" width="13.5" style="355" customWidth="1"/>
    <col min="3" max="3" width="12" style="468" hidden="1" customWidth="1"/>
    <col min="4" max="4" width="14.33203125" style="468" hidden="1" customWidth="1"/>
    <col min="5" max="5" width="16.33203125" style="468" customWidth="1"/>
    <col min="6" max="6" width="18.33203125" style="468" customWidth="1"/>
    <col min="7" max="7" width="18.83203125" style="468" customWidth="1"/>
    <col min="8" max="8" width="16.33203125" style="355" customWidth="1"/>
    <col min="9" max="9" width="11" style="469" customWidth="1"/>
    <col min="10" max="10" width="10.6640625" style="468" customWidth="1"/>
    <col min="11" max="11" width="12.83203125" style="468" customWidth="1"/>
    <col min="12" max="12" width="9" style="468" customWidth="1"/>
    <col min="13" max="13" width="10.1640625" style="468" customWidth="1"/>
    <col min="14" max="14" width="11" style="468" customWidth="1"/>
    <col min="15" max="15" width="9.5" style="468" customWidth="1"/>
    <col min="16" max="16" width="2" style="468" customWidth="1"/>
    <col min="17" max="17" width="9.5" style="468" customWidth="1"/>
    <col min="18" max="20" width="8.83203125" style="468"/>
    <col min="21" max="21" width="9.1640625" style="468" customWidth="1"/>
    <col min="22" max="22" width="8.83203125" style="468"/>
    <col min="23" max="23" width="13.33203125" style="468" customWidth="1"/>
    <col min="24" max="24" width="26.83203125" style="468" customWidth="1"/>
    <col min="25" max="25" width="26" style="468" customWidth="1"/>
    <col min="26" max="26" width="27.5" style="468" customWidth="1"/>
    <col min="27" max="27" width="30.5" style="468" customWidth="1"/>
    <col min="28" max="28" width="21.83203125" style="468" customWidth="1"/>
    <col min="29" max="16384" width="8.83203125" style="468"/>
  </cols>
  <sheetData>
    <row r="1" spans="1:27" ht="4" hidden="1" customHeight="1"/>
    <row r="2" spans="1:27" ht="4" hidden="1" customHeight="1"/>
    <row r="3" spans="1:27" ht="4" hidden="1" customHeight="1"/>
    <row r="4" spans="1:27" ht="4" hidden="1" customHeight="1"/>
    <row r="5" spans="1:27" ht="4" hidden="1" customHeight="1"/>
    <row r="6" spans="1:27" ht="4" hidden="1" customHeight="1"/>
    <row r="7" spans="1:27" ht="4" hidden="1" customHeight="1"/>
    <row r="8" spans="1:27" ht="4" hidden="1" customHeight="1"/>
    <row r="9" spans="1:27" ht="4" hidden="1" customHeight="1"/>
    <row r="10" spans="1:27" ht="4" hidden="1" customHeight="1"/>
    <row r="11" spans="1:27" ht="4" hidden="1" customHeight="1"/>
    <row r="12" spans="1:27" ht="4" hidden="1" customHeight="1"/>
    <row r="13" spans="1:27" s="466" customFormat="1">
      <c r="A13" s="691" t="s">
        <v>620</v>
      </c>
      <c r="B13" s="692"/>
      <c r="C13" s="463"/>
      <c r="D13" s="464"/>
      <c r="E13" s="699" t="s">
        <v>593</v>
      </c>
      <c r="F13" s="699"/>
      <c r="G13" s="699"/>
      <c r="H13" s="699"/>
      <c r="I13" s="700"/>
      <c r="J13" s="693" t="s">
        <v>352</v>
      </c>
      <c r="K13" s="694"/>
      <c r="L13" s="695"/>
      <c r="M13" s="696" t="s">
        <v>353</v>
      </c>
      <c r="N13" s="697"/>
      <c r="O13" s="698"/>
      <c r="P13" s="465"/>
      <c r="Q13" s="690" t="s">
        <v>345</v>
      </c>
      <c r="R13" s="690"/>
      <c r="S13" s="690"/>
      <c r="T13" s="690"/>
      <c r="U13" s="690"/>
      <c r="V13" s="690"/>
      <c r="W13" s="690"/>
    </row>
    <row r="14" spans="1:27" s="355" customFormat="1" ht="28">
      <c r="A14" s="586" t="s">
        <v>619</v>
      </c>
      <c r="B14" s="587" t="s">
        <v>54</v>
      </c>
      <c r="C14" s="588" t="s">
        <v>562</v>
      </c>
      <c r="D14" s="588" t="s">
        <v>561</v>
      </c>
      <c r="E14" s="589" t="s">
        <v>685</v>
      </c>
      <c r="F14" s="589" t="s">
        <v>686</v>
      </c>
      <c r="G14" s="589" t="s">
        <v>713</v>
      </c>
      <c r="H14" s="589" t="s">
        <v>350</v>
      </c>
      <c r="I14" s="589" t="s">
        <v>492</v>
      </c>
      <c r="J14" s="590" t="s">
        <v>461</v>
      </c>
      <c r="K14" s="590" t="s">
        <v>621</v>
      </c>
      <c r="L14" s="590" t="s">
        <v>697</v>
      </c>
      <c r="M14" s="591" t="s">
        <v>630</v>
      </c>
      <c r="N14" s="591" t="s">
        <v>621</v>
      </c>
      <c r="O14" s="591" t="s">
        <v>698</v>
      </c>
      <c r="P14" s="592"/>
      <c r="Q14" s="593" t="s">
        <v>381</v>
      </c>
      <c r="R14" s="593" t="s">
        <v>382</v>
      </c>
      <c r="S14" s="593" t="s">
        <v>383</v>
      </c>
      <c r="T14" s="593" t="s">
        <v>384</v>
      </c>
      <c r="U14" s="593" t="s">
        <v>385</v>
      </c>
      <c r="V14" s="593" t="s">
        <v>386</v>
      </c>
      <c r="W14" s="593" t="s">
        <v>344</v>
      </c>
      <c r="X14" s="354"/>
      <c r="Y14" s="354"/>
      <c r="Z14" s="354"/>
      <c r="AA14" s="354"/>
    </row>
    <row r="15" spans="1:27" s="355" customFormat="1">
      <c r="A15" s="404" t="s">
        <v>617</v>
      </c>
      <c r="B15" s="372">
        <v>375074007</v>
      </c>
      <c r="C15" s="470" t="s">
        <v>500</v>
      </c>
      <c r="D15" s="470" t="s">
        <v>375</v>
      </c>
      <c r="E15" s="366" t="s">
        <v>477</v>
      </c>
      <c r="F15" s="366" t="s">
        <v>476</v>
      </c>
      <c r="G15" s="366" t="s">
        <v>486</v>
      </c>
      <c r="H15" s="366" t="s">
        <v>368</v>
      </c>
      <c r="I15" s="366" t="s">
        <v>687</v>
      </c>
      <c r="J15" s="371">
        <f>'NG Elec KWH Annual'!$O22</f>
        <v>1515</v>
      </c>
      <c r="K15" s="409">
        <f>'NG Elec Cost Annual'!$O22</f>
        <v>319.11</v>
      </c>
      <c r="L15" s="409">
        <f>K15/J15</f>
        <v>0.21063366336633665</v>
      </c>
      <c r="M15" s="356">
        <f>'NG Nat. Gas Therms Annual'!$O22</f>
        <v>0</v>
      </c>
      <c r="N15" s="410">
        <f>'NG Nat. Gas Cost Annual'!$O22</f>
        <v>0</v>
      </c>
      <c r="O15" s="410"/>
      <c r="P15" s="357"/>
      <c r="Q15" s="358">
        <f t="shared" ref="Q15:Q46" si="0">M15*0.1*53.02*0.001</f>
        <v>0</v>
      </c>
      <c r="R15" s="359">
        <f>M15*0.005*0.001*Reference!$I$12</f>
        <v>0</v>
      </c>
      <c r="S15" s="360">
        <f>M15*0.0001*0.001*Reference!$I$13</f>
        <v>0</v>
      </c>
      <c r="T15" s="358">
        <f>(J15*Reference!$F$11/1000)/2204.62</f>
        <v>0.42949578612187134</v>
      </c>
      <c r="U15" s="359">
        <f>(J15/1000*Reference!$F$12)/2204.62*Reference!$I$12</f>
        <v>3.5817886982790682E-4</v>
      </c>
      <c r="V15" s="359">
        <f>(J15/1000*Reference!$F$13)/2204.62*Reference!$I$13</f>
        <v>2.3838046919650549E-3</v>
      </c>
      <c r="W15" s="359">
        <f t="shared" ref="W15:W46" si="1">SUM(Q15:V15)</f>
        <v>0.43223776968366429</v>
      </c>
    </row>
    <row r="16" spans="1:27" s="355" customFormat="1">
      <c r="A16" s="404" t="s">
        <v>617</v>
      </c>
      <c r="B16" s="372">
        <v>4153820112</v>
      </c>
      <c r="C16" s="470" t="s">
        <v>500</v>
      </c>
      <c r="D16" s="470" t="s">
        <v>375</v>
      </c>
      <c r="E16" s="366" t="s">
        <v>477</v>
      </c>
      <c r="F16" s="366" t="s">
        <v>476</v>
      </c>
      <c r="G16" s="366" t="s">
        <v>486</v>
      </c>
      <c r="H16" s="366" t="s">
        <v>369</v>
      </c>
      <c r="I16" s="366" t="s">
        <v>687</v>
      </c>
      <c r="J16" s="371">
        <f>'NG Elec KWH Annual'!$O63</f>
        <v>73573</v>
      </c>
      <c r="K16" s="409">
        <f>'NG Elec Cost Annual'!$O63</f>
        <v>2711.28</v>
      </c>
      <c r="L16" s="409">
        <f t="shared" ref="L16:L79" si="2">K16/J16</f>
        <v>3.6851562393812952E-2</v>
      </c>
      <c r="M16" s="356">
        <f>'NG Nat. Gas Therms Annual'!$O63</f>
        <v>0</v>
      </c>
      <c r="N16" s="410">
        <f>'NG Nat. Gas Cost Annual'!$O63</f>
        <v>0</v>
      </c>
      <c r="O16" s="410"/>
      <c r="P16" s="357"/>
      <c r="Q16" s="358">
        <f t="shared" si="0"/>
        <v>0</v>
      </c>
      <c r="R16" s="359">
        <f>M16*0.005*0.001*Reference!$I$12</f>
        <v>0</v>
      </c>
      <c r="S16" s="360">
        <f>M16*0.0001*0.001*Reference!$I$13</f>
        <v>0</v>
      </c>
      <c r="T16" s="358">
        <f>(J16*Reference!$F$11/1000)/2204.62</f>
        <v>20.857619453692703</v>
      </c>
      <c r="U16" s="359">
        <f>(J16/1000*Reference!$F$12)/2204.62*Reference!$I$12</f>
        <v>1.7394253458645932E-2</v>
      </c>
      <c r="V16" s="359">
        <f>(J16/1000*Reference!$F$13)/2204.62*Reference!$I$13</f>
        <v>0.11576479379666338</v>
      </c>
      <c r="W16" s="359">
        <f t="shared" si="1"/>
        <v>20.990778500948014</v>
      </c>
    </row>
    <row r="17" spans="1:23" s="355" customFormat="1">
      <c r="A17" s="404" t="s">
        <v>617</v>
      </c>
      <c r="B17" s="372">
        <v>2773821106</v>
      </c>
      <c r="C17" s="470" t="s">
        <v>513</v>
      </c>
      <c r="D17" s="470" t="s">
        <v>375</v>
      </c>
      <c r="E17" s="366" t="s">
        <v>477</v>
      </c>
      <c r="F17" s="366" t="s">
        <v>476</v>
      </c>
      <c r="G17" s="366" t="s">
        <v>486</v>
      </c>
      <c r="H17" s="366" t="s">
        <v>26</v>
      </c>
      <c r="I17" s="367" t="s">
        <v>699</v>
      </c>
      <c r="J17" s="371">
        <f>'NG Elec KWH Annual'!$O49</f>
        <v>0</v>
      </c>
      <c r="K17" s="409">
        <f>'NG Elec Cost Annual'!$O49</f>
        <v>248.64000000000004</v>
      </c>
      <c r="L17" s="409" t="e">
        <f t="shared" si="2"/>
        <v>#DIV/0!</v>
      </c>
      <c r="M17" s="356">
        <f>'NG Nat. Gas Therms Annual'!$O49</f>
        <v>0</v>
      </c>
      <c r="N17" s="410">
        <f>'NG Nat. Gas Cost Annual'!$O49</f>
        <v>0</v>
      </c>
      <c r="O17" s="410"/>
      <c r="P17" s="357"/>
      <c r="Q17" s="358">
        <f t="shared" si="0"/>
        <v>0</v>
      </c>
      <c r="R17" s="359">
        <f>M17*0.005*0.001*Reference!$I$12</f>
        <v>0</v>
      </c>
      <c r="S17" s="360">
        <f>M17*0.0001*0.001*Reference!$I$13</f>
        <v>0</v>
      </c>
      <c r="T17" s="358">
        <f>(J17*Reference!$F$11/1000)/2204.62</f>
        <v>0</v>
      </c>
      <c r="U17" s="359">
        <f>(J17/1000*Reference!$F$12)/2204.62*Reference!$I$12</f>
        <v>0</v>
      </c>
      <c r="V17" s="359">
        <f>(J17/1000*Reference!$F$13)/2204.62*Reference!$I$13</f>
        <v>0</v>
      </c>
      <c r="W17" s="359">
        <f t="shared" si="1"/>
        <v>0</v>
      </c>
    </row>
    <row r="18" spans="1:23" s="355" customFormat="1">
      <c r="A18" s="404" t="s">
        <v>617</v>
      </c>
      <c r="B18" s="372">
        <v>3128810107</v>
      </c>
      <c r="C18" s="470" t="s">
        <v>516</v>
      </c>
      <c r="D18" s="470" t="s">
        <v>375</v>
      </c>
      <c r="E18" s="366" t="s">
        <v>477</v>
      </c>
      <c r="F18" s="366" t="s">
        <v>476</v>
      </c>
      <c r="G18" s="366" t="s">
        <v>486</v>
      </c>
      <c r="H18" s="366" t="s">
        <v>29</v>
      </c>
      <c r="I18" s="367"/>
      <c r="J18" s="371">
        <f>'NG Elec KWH Annual'!$O53</f>
        <v>63</v>
      </c>
      <c r="K18" s="409">
        <f>'NG Elec Cost Annual'!$O53</f>
        <v>252.67000000000002</v>
      </c>
      <c r="L18" s="409">
        <f t="shared" si="2"/>
        <v>4.0106349206349208</v>
      </c>
      <c r="M18" s="356">
        <f>'NG Nat. Gas Therms Annual'!$O53</f>
        <v>0</v>
      </c>
      <c r="N18" s="410">
        <f>'NG Nat. Gas Cost Annual'!$O53</f>
        <v>0</v>
      </c>
      <c r="O18" s="410"/>
      <c r="P18" s="357"/>
      <c r="Q18" s="358">
        <f t="shared" si="0"/>
        <v>0</v>
      </c>
      <c r="R18" s="359">
        <f>M18*0.005*0.001*Reference!$I$12</f>
        <v>0</v>
      </c>
      <c r="S18" s="360">
        <f>M18*0.0001*0.001*Reference!$I$13</f>
        <v>0</v>
      </c>
      <c r="T18" s="358">
        <f>(J18*Reference!$F$11/1000)/2204.62</f>
        <v>1.7860220809028313E-2</v>
      </c>
      <c r="U18" s="359">
        <f>(J18/1000*Reference!$F$12)/2204.62*Reference!$I$12</f>
        <v>1.489456686413078E-5</v>
      </c>
      <c r="V18" s="359">
        <f>(J18/1000*Reference!$F$13)/2204.62*Reference!$I$13</f>
        <v>9.9128511943101318E-5</v>
      </c>
      <c r="W18" s="359">
        <f t="shared" si="1"/>
        <v>1.7974243887835546E-2</v>
      </c>
    </row>
    <row r="19" spans="1:23" s="355" customFormat="1">
      <c r="A19" s="404" t="s">
        <v>617</v>
      </c>
      <c r="B19" s="372">
        <v>5828811100</v>
      </c>
      <c r="C19" s="470" t="s">
        <v>517</v>
      </c>
      <c r="D19" s="470" t="s">
        <v>375</v>
      </c>
      <c r="E19" s="366" t="s">
        <v>477</v>
      </c>
      <c r="F19" s="366" t="s">
        <v>476</v>
      </c>
      <c r="G19" s="366" t="s">
        <v>486</v>
      </c>
      <c r="H19" s="366" t="s">
        <v>41</v>
      </c>
      <c r="I19" s="367"/>
      <c r="J19" s="371">
        <f>'NG Elec KWH Annual'!$O78</f>
        <v>94</v>
      </c>
      <c r="K19" s="409">
        <f>'NG Elec Cost Annual'!$O78</f>
        <v>254.7</v>
      </c>
      <c r="L19" s="409">
        <f t="shared" si="2"/>
        <v>2.7095744680851062</v>
      </c>
      <c r="M19" s="356">
        <f>'NG Nat. Gas Therms Annual'!$O78</f>
        <v>0</v>
      </c>
      <c r="N19" s="410">
        <f>'NG Nat. Gas Cost Annual'!$O78</f>
        <v>0</v>
      </c>
      <c r="O19" s="410"/>
      <c r="P19" s="357"/>
      <c r="Q19" s="358">
        <f t="shared" si="0"/>
        <v>0</v>
      </c>
      <c r="R19" s="359">
        <f>M19*0.005*0.001*Reference!$I$12</f>
        <v>0</v>
      </c>
      <c r="S19" s="360">
        <f>M19*0.0001*0.001*Reference!$I$13</f>
        <v>0</v>
      </c>
      <c r="T19" s="358">
        <f>(J19*Reference!$F$11/1000)/2204.62</f>
        <v>2.6648583429343835E-2</v>
      </c>
      <c r="U19" s="359">
        <f>(J19/1000*Reference!$F$12)/2204.62*Reference!$I$12</f>
        <v>2.2223639448068152E-5</v>
      </c>
      <c r="V19" s="359">
        <f>(J19/1000*Reference!$F$13)/2204.62*Reference!$I$13</f>
        <v>1.4790603369288133E-4</v>
      </c>
      <c r="W19" s="359">
        <f t="shared" si="1"/>
        <v>2.6818713102484786E-2</v>
      </c>
    </row>
    <row r="20" spans="1:23" s="355" customFormat="1">
      <c r="A20" s="404" t="s">
        <v>617</v>
      </c>
      <c r="B20" s="372">
        <v>5748811104</v>
      </c>
      <c r="C20" s="470" t="s">
        <v>517</v>
      </c>
      <c r="D20" s="470" t="s">
        <v>375</v>
      </c>
      <c r="E20" s="366" t="s">
        <v>477</v>
      </c>
      <c r="F20" s="366" t="s">
        <v>476</v>
      </c>
      <c r="G20" s="366" t="s">
        <v>486</v>
      </c>
      <c r="H20" s="366" t="s">
        <v>40</v>
      </c>
      <c r="I20" s="367"/>
      <c r="J20" s="371">
        <f>'NG Elec KWH Annual'!$O77</f>
        <v>124</v>
      </c>
      <c r="K20" s="409">
        <f>'NG Elec Cost Annual'!$O77</f>
        <v>256.62</v>
      </c>
      <c r="L20" s="409">
        <f t="shared" si="2"/>
        <v>2.0695161290322579</v>
      </c>
      <c r="M20" s="356">
        <f>'NG Nat. Gas Therms Annual'!$O77</f>
        <v>0</v>
      </c>
      <c r="N20" s="410">
        <f>'NG Nat. Gas Cost Annual'!$O77</f>
        <v>0</v>
      </c>
      <c r="O20" s="410"/>
      <c r="P20" s="357"/>
      <c r="Q20" s="358">
        <f t="shared" si="0"/>
        <v>0</v>
      </c>
      <c r="R20" s="359">
        <f>M20*0.005*0.001*Reference!$I$12</f>
        <v>0</v>
      </c>
      <c r="S20" s="360">
        <f>M20*0.0001*0.001*Reference!$I$13</f>
        <v>0</v>
      </c>
      <c r="T20" s="358">
        <f>(J20*Reference!$F$11/1000)/2204.62</f>
        <v>3.5153450481262082E-2</v>
      </c>
      <c r="U20" s="359">
        <f>(J20/1000*Reference!$F$12)/2204.62*Reference!$I$12</f>
        <v>2.9316290335749469E-5</v>
      </c>
      <c r="V20" s="359">
        <f>(J20/1000*Reference!$F$13)/2204.62*Reference!$I$13</f>
        <v>1.9511008699912001E-4</v>
      </c>
      <c r="W20" s="359">
        <f t="shared" si="1"/>
        <v>3.5377876858596953E-2</v>
      </c>
    </row>
    <row r="21" spans="1:23" s="355" customFormat="1">
      <c r="A21" s="404" t="s">
        <v>617</v>
      </c>
      <c r="B21" s="372">
        <v>3195056004</v>
      </c>
      <c r="C21" s="470" t="s">
        <v>517</v>
      </c>
      <c r="D21" s="470" t="s">
        <v>375</v>
      </c>
      <c r="E21" s="366" t="s">
        <v>477</v>
      </c>
      <c r="F21" s="366" t="s">
        <v>476</v>
      </c>
      <c r="G21" s="366" t="s">
        <v>486</v>
      </c>
      <c r="H21" s="366" t="s">
        <v>30</v>
      </c>
      <c r="I21" s="367"/>
      <c r="J21" s="371">
        <f>'NG Elec KWH Annual'!$O54</f>
        <v>152</v>
      </c>
      <c r="K21" s="409">
        <f>'NG Elec Cost Annual'!$O54</f>
        <v>258.33999999999997</v>
      </c>
      <c r="L21" s="409">
        <f t="shared" si="2"/>
        <v>1.6996052631578946</v>
      </c>
      <c r="M21" s="356">
        <f>'NG Nat. Gas Therms Annual'!$O54</f>
        <v>0</v>
      </c>
      <c r="N21" s="410">
        <f>'NG Nat. Gas Cost Annual'!$O54</f>
        <v>0</v>
      </c>
      <c r="O21" s="410"/>
      <c r="P21" s="357"/>
      <c r="Q21" s="358">
        <f t="shared" si="0"/>
        <v>0</v>
      </c>
      <c r="R21" s="359">
        <f>M21*0.005*0.001*Reference!$I$12</f>
        <v>0</v>
      </c>
      <c r="S21" s="360">
        <f>M21*0.0001*0.001*Reference!$I$13</f>
        <v>0</v>
      </c>
      <c r="T21" s="358">
        <f>(J21*Reference!$F$11/1000)/2204.62</f>
        <v>4.3091326396385771E-2</v>
      </c>
      <c r="U21" s="359">
        <f>(J21/1000*Reference!$F$12)/2204.62*Reference!$I$12</f>
        <v>3.5936097830918709E-5</v>
      </c>
      <c r="V21" s="359">
        <f>(J21/1000*Reference!$F$13)/2204.62*Reference!$I$13</f>
        <v>2.3916720341827618E-4</v>
      </c>
      <c r="W21" s="359">
        <f t="shared" si="1"/>
        <v>4.3366429697634962E-2</v>
      </c>
    </row>
    <row r="22" spans="1:23" s="355" customFormat="1">
      <c r="A22" s="404" t="s">
        <v>617</v>
      </c>
      <c r="B22" s="372">
        <v>6053820112</v>
      </c>
      <c r="C22" s="470" t="s">
        <v>528</v>
      </c>
      <c r="D22" s="470" t="s">
        <v>375</v>
      </c>
      <c r="E22" s="366" t="s">
        <v>477</v>
      </c>
      <c r="F22" s="366" t="s">
        <v>476</v>
      </c>
      <c r="G22" s="366" t="s">
        <v>486</v>
      </c>
      <c r="H22" s="366" t="s">
        <v>475</v>
      </c>
      <c r="I22" s="367"/>
      <c r="J22" s="371">
        <f>'NG Elec KWH Annual'!$O81</f>
        <v>349</v>
      </c>
      <c r="K22" s="409">
        <f>'NG Elec Cost Annual'!$O81</f>
        <v>270.93</v>
      </c>
      <c r="L22" s="409">
        <f t="shared" si="2"/>
        <v>0.77630372492836675</v>
      </c>
      <c r="M22" s="356">
        <f>'NG Nat. Gas Therms Annual'!$O81</f>
        <v>0</v>
      </c>
      <c r="N22" s="410">
        <f>'NG Nat. Gas Cost Annual'!$O81</f>
        <v>0</v>
      </c>
      <c r="O22" s="410"/>
      <c r="P22" s="357"/>
      <c r="Q22" s="358">
        <f t="shared" si="0"/>
        <v>0</v>
      </c>
      <c r="R22" s="359">
        <f>M22*0.005*0.001*Reference!$I$12</f>
        <v>0</v>
      </c>
      <c r="S22" s="360">
        <f>M22*0.0001*0.001*Reference!$I$13</f>
        <v>0</v>
      </c>
      <c r="T22" s="358">
        <f>(J22*Reference!$F$11/1000)/2204.62</f>
        <v>9.8939953370648911E-2</v>
      </c>
      <c r="U22" s="359">
        <f>(J22/1000*Reference!$F$12)/2204.62*Reference!$I$12</f>
        <v>8.2511171993359384E-5</v>
      </c>
      <c r="V22" s="359">
        <f>(J22/1000*Reference!$F$13)/2204.62*Reference!$I$13</f>
        <v>5.4914048679591038E-4</v>
      </c>
      <c r="W22" s="359">
        <f t="shared" si="1"/>
        <v>9.9571605029438182E-2</v>
      </c>
    </row>
    <row r="23" spans="1:23" s="355" customFormat="1">
      <c r="A23" s="404" t="s">
        <v>617</v>
      </c>
      <c r="B23" s="372">
        <v>6853819124</v>
      </c>
      <c r="C23" s="470" t="s">
        <v>510</v>
      </c>
      <c r="D23" s="470" t="s">
        <v>585</v>
      </c>
      <c r="E23" s="366" t="s">
        <v>477</v>
      </c>
      <c r="F23" s="366" t="s">
        <v>476</v>
      </c>
      <c r="G23" s="366" t="s">
        <v>486</v>
      </c>
      <c r="H23" s="366" t="s">
        <v>452</v>
      </c>
      <c r="I23" s="367"/>
      <c r="J23" s="371">
        <f>'NG Elec KWH Annual'!$O84</f>
        <v>2275</v>
      </c>
      <c r="K23" s="409">
        <f>'NG Elec Cost Annual'!$O84</f>
        <v>554.68000000000006</v>
      </c>
      <c r="L23" s="409">
        <f t="shared" si="2"/>
        <v>0.24381538461538466</v>
      </c>
      <c r="M23" s="356">
        <f>'NG Nat. Gas Therms Annual'!$O84</f>
        <v>0</v>
      </c>
      <c r="N23" s="410">
        <f>'NG Nat. Gas Cost Annual'!$O84</f>
        <v>0</v>
      </c>
      <c r="O23" s="410"/>
      <c r="P23" s="357"/>
      <c r="Q23" s="358">
        <f t="shared" si="0"/>
        <v>0</v>
      </c>
      <c r="R23" s="359">
        <f>M23*0.005*0.001*Reference!$I$12</f>
        <v>0</v>
      </c>
      <c r="S23" s="360">
        <f>M23*0.0001*0.001*Reference!$I$13</f>
        <v>0</v>
      </c>
      <c r="T23" s="358">
        <f>(J23*Reference!$F$11/1000)/2204.62</f>
        <v>0.64495241810380022</v>
      </c>
      <c r="U23" s="359">
        <f>(J23/1000*Reference!$F$12)/2204.62*Reference!$I$12</f>
        <v>5.3785935898250032E-4</v>
      </c>
      <c r="V23" s="359">
        <f>(J23/1000*Reference!$F$13)/2204.62*Reference!$I$13</f>
        <v>3.5796407090564362E-3</v>
      </c>
      <c r="W23" s="359">
        <f t="shared" si="1"/>
        <v>0.64906991817183923</v>
      </c>
    </row>
    <row r="24" spans="1:23" s="355" customFormat="1">
      <c r="A24" s="404" t="s">
        <v>617</v>
      </c>
      <c r="B24" s="372">
        <v>2860127100</v>
      </c>
      <c r="C24" s="470" t="s">
        <v>514</v>
      </c>
      <c r="D24" s="470" t="s">
        <v>375</v>
      </c>
      <c r="E24" s="366" t="s">
        <v>477</v>
      </c>
      <c r="F24" s="366" t="s">
        <v>476</v>
      </c>
      <c r="G24" s="366" t="s">
        <v>486</v>
      </c>
      <c r="H24" s="366" t="s">
        <v>28</v>
      </c>
      <c r="I24" s="367"/>
      <c r="J24" s="371">
        <f>'NG Elec KWH Annual'!$O51</f>
        <v>3744</v>
      </c>
      <c r="K24" s="409">
        <f>'NG Elec Cost Annual'!$O51</f>
        <v>652.61</v>
      </c>
      <c r="L24" s="409">
        <f t="shared" si="2"/>
        <v>0.1743082264957265</v>
      </c>
      <c r="M24" s="356">
        <f>'NG Nat. Gas Therms Annual'!$O51</f>
        <v>0</v>
      </c>
      <c r="N24" s="410">
        <f>'NG Nat. Gas Cost Annual'!$O51</f>
        <v>0</v>
      </c>
      <c r="O24" s="410"/>
      <c r="P24" s="357"/>
      <c r="Q24" s="358">
        <f t="shared" si="0"/>
        <v>0</v>
      </c>
      <c r="R24" s="359">
        <f>M24*0.005*0.001*Reference!$I$12</f>
        <v>0</v>
      </c>
      <c r="S24" s="360">
        <f>M24*0.0001*0.001*Reference!$I$13</f>
        <v>0</v>
      </c>
      <c r="T24" s="358">
        <f>(J24*Reference!$F$11/1000)/2204.62</f>
        <v>1.0614074080793969</v>
      </c>
      <c r="U24" s="359">
        <f>(J24/1000*Reference!$F$12)/2204.62*Reference!$I$12</f>
        <v>8.851628307826291E-4</v>
      </c>
      <c r="V24" s="359">
        <f>(J24/1000*Reference!$F$13)/2204.62*Reference!$I$13</f>
        <v>5.8910658526185929E-3</v>
      </c>
      <c r="W24" s="359">
        <f t="shared" si="1"/>
        <v>1.0681836367627981</v>
      </c>
    </row>
    <row r="25" spans="1:23" s="355" customFormat="1">
      <c r="A25" s="404" t="s">
        <v>617</v>
      </c>
      <c r="B25" s="372">
        <v>9529017113</v>
      </c>
      <c r="C25" s="470" t="s">
        <v>530</v>
      </c>
      <c r="D25" s="470" t="s">
        <v>375</v>
      </c>
      <c r="E25" s="366" t="s">
        <v>477</v>
      </c>
      <c r="F25" s="366" t="s">
        <v>476</v>
      </c>
      <c r="G25" s="366" t="s">
        <v>486</v>
      </c>
      <c r="H25" s="366" t="s">
        <v>48</v>
      </c>
      <c r="I25" s="367"/>
      <c r="J25" s="371">
        <f>'NG Elec KWH Annual'!$O93</f>
        <v>6506</v>
      </c>
      <c r="K25" s="409">
        <f>'NG Elec Cost Annual'!$O93</f>
        <v>628.13</v>
      </c>
      <c r="L25" s="409">
        <f t="shared" si="2"/>
        <v>9.6546264986166613E-2</v>
      </c>
      <c r="M25" s="356">
        <f>'NG Nat. Gas Therms Annual'!$O93</f>
        <v>0</v>
      </c>
      <c r="N25" s="410">
        <f>'NG Nat. Gas Cost Annual'!$O93</f>
        <v>0</v>
      </c>
      <c r="O25" s="410"/>
      <c r="P25" s="357"/>
      <c r="Q25" s="358">
        <f t="shared" si="0"/>
        <v>0</v>
      </c>
      <c r="R25" s="359">
        <f>M25*0.005*0.001*Reference!$I$12</f>
        <v>0</v>
      </c>
      <c r="S25" s="360">
        <f>M25*0.0001*0.001*Reference!$I$13</f>
        <v>0</v>
      </c>
      <c r="T25" s="358">
        <f>(J25*Reference!$F$11/1000)/2204.62</f>
        <v>1.84442216799267</v>
      </c>
      <c r="U25" s="359">
        <f>(J25/1000*Reference!$F$12)/2204.62*Reference!$I$12</f>
        <v>1.5381595558418232E-3</v>
      </c>
      <c r="V25" s="359">
        <f>(J25/1000*Reference!$F$13)/2204.62*Reference!$I$13</f>
        <v>1.0236985693679639E-2</v>
      </c>
      <c r="W25" s="359">
        <f t="shared" si="1"/>
        <v>1.8561973132421916</v>
      </c>
    </row>
    <row r="26" spans="1:23" s="355" customFormat="1">
      <c r="A26" s="404" t="s">
        <v>617</v>
      </c>
      <c r="B26" s="372">
        <v>293879106</v>
      </c>
      <c r="C26" s="470" t="s">
        <v>498</v>
      </c>
      <c r="D26" s="470" t="s">
        <v>375</v>
      </c>
      <c r="E26" s="366" t="s">
        <v>477</v>
      </c>
      <c r="F26" s="366" t="s">
        <v>476</v>
      </c>
      <c r="G26" s="366" t="s">
        <v>486</v>
      </c>
      <c r="H26" s="366" t="s">
        <v>58</v>
      </c>
      <c r="I26" s="366"/>
      <c r="J26" s="371">
        <f>'NG Elec KWH Annual'!$O20</f>
        <v>8968</v>
      </c>
      <c r="K26" s="409">
        <f>'NG Elec Cost Annual'!$O20</f>
        <v>3125.08</v>
      </c>
      <c r="L26" s="409">
        <f t="shared" si="2"/>
        <v>0.3484701159678858</v>
      </c>
      <c r="M26" s="356">
        <f>'NG Nat. Gas Therms Annual'!$O20</f>
        <v>0</v>
      </c>
      <c r="N26" s="410">
        <f>'NG Nat. Gas Cost Annual'!$O20</f>
        <v>0</v>
      </c>
      <c r="O26" s="410"/>
      <c r="P26" s="357"/>
      <c r="Q26" s="358">
        <f t="shared" si="0"/>
        <v>0</v>
      </c>
      <c r="R26" s="359">
        <f>M26*0.005*0.001*Reference!$I$12</f>
        <v>0</v>
      </c>
      <c r="S26" s="360">
        <f>M26*0.0001*0.001*Reference!$I$13</f>
        <v>0</v>
      </c>
      <c r="T26" s="358">
        <f>(J26*Reference!$F$11/1000)/2204.62</f>
        <v>2.5423882573867607</v>
      </c>
      <c r="U26" s="359">
        <f>(J26/1000*Reference!$F$12)/2204.62*Reference!$I$12</f>
        <v>2.1202297720242036E-3</v>
      </c>
      <c r="V26" s="359">
        <f>(J26/1000*Reference!$F$13)/2204.62*Reference!$I$13</f>
        <v>1.4110865001678293E-2</v>
      </c>
      <c r="W26" s="359">
        <f t="shared" si="1"/>
        <v>2.5586193521604632</v>
      </c>
    </row>
    <row r="27" spans="1:23" s="355" customFormat="1">
      <c r="A27" s="404" t="s">
        <v>617</v>
      </c>
      <c r="B27" s="372">
        <v>143027007</v>
      </c>
      <c r="C27" s="471" t="s">
        <v>494</v>
      </c>
      <c r="D27" s="470" t="s">
        <v>582</v>
      </c>
      <c r="E27" s="366" t="s">
        <v>477</v>
      </c>
      <c r="F27" s="366" t="s">
        <v>476</v>
      </c>
      <c r="G27" s="366" t="s">
        <v>486</v>
      </c>
      <c r="H27" s="472" t="s">
        <v>21</v>
      </c>
      <c r="I27" s="367" t="s">
        <v>714</v>
      </c>
      <c r="J27" s="371">
        <f>'NG Elec KWH Annual'!$O15</f>
        <v>604</v>
      </c>
      <c r="K27" s="409">
        <f>'NG Elec Cost Annual'!$O15</f>
        <v>287.49</v>
      </c>
      <c r="L27" s="409">
        <f t="shared" si="2"/>
        <v>0.47597682119205298</v>
      </c>
      <c r="M27" s="356">
        <f>'NG Nat. Gas Therms Annual'!$O15</f>
        <v>0</v>
      </c>
      <c r="N27" s="410">
        <f>'NG Nat. Gas Cost Annual'!$O15</f>
        <v>0</v>
      </c>
      <c r="O27" s="410"/>
      <c r="P27" s="357"/>
      <c r="Q27" s="358">
        <f t="shared" si="0"/>
        <v>0</v>
      </c>
      <c r="R27" s="359">
        <f>M27*0.005*0.001*Reference!$I$12</f>
        <v>0</v>
      </c>
      <c r="S27" s="360">
        <f>M27*0.0001*0.001*Reference!$I$13</f>
        <v>0</v>
      </c>
      <c r="T27" s="358">
        <f>(J27*Reference!$F$11/1000)/2204.62</f>
        <v>0.17123132331195401</v>
      </c>
      <c r="U27" s="359">
        <f>(J27/1000*Reference!$F$12)/2204.62*Reference!$I$12</f>
        <v>1.4279870453865064E-4</v>
      </c>
      <c r="V27" s="359">
        <f>(J27/1000*Reference!$F$13)/2204.62*Reference!$I$13</f>
        <v>9.5037493989893963E-4</v>
      </c>
      <c r="W27" s="359">
        <f t="shared" si="1"/>
        <v>0.1723244969563916</v>
      </c>
    </row>
    <row r="28" spans="1:23" s="355" customFormat="1">
      <c r="A28" s="404" t="s">
        <v>617</v>
      </c>
      <c r="B28" s="372">
        <v>6857311003</v>
      </c>
      <c r="C28" s="470" t="s">
        <v>529</v>
      </c>
      <c r="D28" s="470" t="s">
        <v>578</v>
      </c>
      <c r="E28" s="366" t="s">
        <v>477</v>
      </c>
      <c r="F28" s="366" t="s">
        <v>378</v>
      </c>
      <c r="G28" s="366" t="s">
        <v>486</v>
      </c>
      <c r="H28" s="366" t="s">
        <v>445</v>
      </c>
      <c r="I28" s="367" t="s">
        <v>538</v>
      </c>
      <c r="J28" s="371">
        <f>'NG Elec KWH Annual'!$O85</f>
        <v>50</v>
      </c>
      <c r="K28" s="409">
        <f>'NG Elec Cost Annual'!$O85</f>
        <v>260.69</v>
      </c>
      <c r="L28" s="409">
        <f t="shared" si="2"/>
        <v>5.2138</v>
      </c>
      <c r="M28" s="356">
        <f>'NG Nat. Gas Therms Annual'!$O85</f>
        <v>0</v>
      </c>
      <c r="N28" s="410">
        <f>'NG Nat. Gas Cost Annual'!$O85</f>
        <v>0</v>
      </c>
      <c r="O28" s="410"/>
      <c r="P28" s="357"/>
      <c r="Q28" s="358">
        <f t="shared" si="0"/>
        <v>0</v>
      </c>
      <c r="R28" s="359">
        <f>M28*0.005*0.001*Reference!$I$12</f>
        <v>0</v>
      </c>
      <c r="S28" s="360">
        <f>M28*0.0001*0.001*Reference!$I$13</f>
        <v>0</v>
      </c>
      <c r="T28" s="358">
        <f>(J28*Reference!$F$11/1000)/2204.62</f>
        <v>1.4174778419863742E-2</v>
      </c>
      <c r="U28" s="359">
        <f>(J28/1000*Reference!$F$12)/2204.62*Reference!$I$12</f>
        <v>1.1821084812802207E-5</v>
      </c>
      <c r="V28" s="359">
        <f>(J28/1000*Reference!$F$13)/2204.62*Reference!$I$13</f>
        <v>7.8673422177064518E-5</v>
      </c>
      <c r="W28" s="359">
        <f t="shared" si="1"/>
        <v>1.4265272926853608E-2</v>
      </c>
    </row>
    <row r="29" spans="1:23" s="355" customFormat="1">
      <c r="A29" s="404" t="s">
        <v>617</v>
      </c>
      <c r="B29" s="372">
        <v>2137454018</v>
      </c>
      <c r="C29" s="470" t="s">
        <v>501</v>
      </c>
      <c r="D29" s="470" t="s">
        <v>578</v>
      </c>
      <c r="E29" s="366" t="s">
        <v>477</v>
      </c>
      <c r="F29" s="366" t="s">
        <v>378</v>
      </c>
      <c r="G29" s="366" t="s">
        <v>486</v>
      </c>
      <c r="H29" s="366" t="s">
        <v>443</v>
      </c>
      <c r="I29" s="367" t="s">
        <v>538</v>
      </c>
      <c r="J29" s="371">
        <f>'NG Elec KWH Annual'!$O43</f>
        <v>54</v>
      </c>
      <c r="K29" s="409">
        <f>'NG Elec Cost Annual'!$O43</f>
        <v>255.99</v>
      </c>
      <c r="L29" s="409">
        <f t="shared" si="2"/>
        <v>4.7405555555555559</v>
      </c>
      <c r="M29" s="356">
        <f>'NG Nat. Gas Therms Annual'!$O43</f>
        <v>0</v>
      </c>
      <c r="N29" s="410">
        <f>'NG Nat. Gas Cost Annual'!$O43</f>
        <v>0</v>
      </c>
      <c r="O29" s="410"/>
      <c r="P29" s="357"/>
      <c r="Q29" s="358">
        <f t="shared" si="0"/>
        <v>0</v>
      </c>
      <c r="R29" s="359">
        <f>M29*0.005*0.001*Reference!$I$12</f>
        <v>0</v>
      </c>
      <c r="S29" s="360">
        <f>M29*0.0001*0.001*Reference!$I$13</f>
        <v>0</v>
      </c>
      <c r="T29" s="358">
        <f>(J29*Reference!$F$11/1000)/2204.62</f>
        <v>1.5308760693452841E-2</v>
      </c>
      <c r="U29" s="359">
        <f>(J29/1000*Reference!$F$12)/2204.62*Reference!$I$12</f>
        <v>1.2766771597826383E-5</v>
      </c>
      <c r="V29" s="359">
        <f>(J29/1000*Reference!$F$13)/2204.62*Reference!$I$13</f>
        <v>8.4967295951229697E-5</v>
      </c>
      <c r="W29" s="359">
        <f t="shared" si="1"/>
        <v>1.5406494761001897E-2</v>
      </c>
    </row>
    <row r="30" spans="1:23" s="355" customFormat="1">
      <c r="A30" s="404" t="s">
        <v>617</v>
      </c>
      <c r="B30" s="372">
        <v>783104003</v>
      </c>
      <c r="C30" s="470" t="s">
        <v>501</v>
      </c>
      <c r="D30" s="470" t="s">
        <v>578</v>
      </c>
      <c r="E30" s="366" t="s">
        <v>477</v>
      </c>
      <c r="F30" s="366" t="s">
        <v>378</v>
      </c>
      <c r="G30" s="366" t="s">
        <v>486</v>
      </c>
      <c r="H30" s="366" t="s">
        <v>59</v>
      </c>
      <c r="I30" s="367"/>
      <c r="J30" s="371">
        <f>'NG Elec KWH Annual'!$O23</f>
        <v>240</v>
      </c>
      <c r="K30" s="409">
        <f>'NG Elec Cost Annual'!$O23</f>
        <v>264.54000000000002</v>
      </c>
      <c r="L30" s="409">
        <f t="shared" si="2"/>
        <v>1.1022500000000002</v>
      </c>
      <c r="M30" s="356">
        <f>'NG Nat. Gas Therms Annual'!$O23</f>
        <v>0</v>
      </c>
      <c r="N30" s="410">
        <f>'NG Nat. Gas Cost Annual'!$O23</f>
        <v>0</v>
      </c>
      <c r="O30" s="410"/>
      <c r="P30" s="357"/>
      <c r="Q30" s="358">
        <f t="shared" si="0"/>
        <v>0</v>
      </c>
      <c r="R30" s="359">
        <f>M30*0.005*0.001*Reference!$I$12</f>
        <v>0</v>
      </c>
      <c r="S30" s="360">
        <f>M30*0.0001*0.001*Reference!$I$13</f>
        <v>0</v>
      </c>
      <c r="T30" s="358">
        <f>(J30*Reference!$F$11/1000)/2204.62</f>
        <v>6.803893641534596E-2</v>
      </c>
      <c r="U30" s="359">
        <f>(J30/1000*Reference!$F$12)/2204.62*Reference!$I$12</f>
        <v>5.674120710145059E-5</v>
      </c>
      <c r="V30" s="359">
        <f>(J30/1000*Reference!$F$13)/2204.62*Reference!$I$13</f>
        <v>3.7763242644990971E-4</v>
      </c>
      <c r="W30" s="359">
        <f t="shared" si="1"/>
        <v>6.8473310048897312E-2</v>
      </c>
    </row>
    <row r="31" spans="1:23" s="355" customFormat="1">
      <c r="A31" s="404" t="s">
        <v>617</v>
      </c>
      <c r="B31" s="372">
        <v>5613808124</v>
      </c>
      <c r="C31" s="470" t="s">
        <v>526</v>
      </c>
      <c r="D31" s="470" t="s">
        <v>582</v>
      </c>
      <c r="E31" s="366" t="s">
        <v>477</v>
      </c>
      <c r="F31" s="366" t="s">
        <v>378</v>
      </c>
      <c r="G31" s="366" t="s">
        <v>486</v>
      </c>
      <c r="H31" s="366" t="s">
        <v>444</v>
      </c>
      <c r="I31" s="367" t="s">
        <v>480</v>
      </c>
      <c r="J31" s="371">
        <f>'NG Elec KWH Annual'!$O75</f>
        <v>4241</v>
      </c>
      <c r="K31" s="409">
        <f>'NG Elec Cost Annual'!$O75</f>
        <v>796.49</v>
      </c>
      <c r="L31" s="409">
        <f t="shared" si="2"/>
        <v>0.18780712096203725</v>
      </c>
      <c r="M31" s="356">
        <f>'NG Nat. Gas Therms Annual'!$O75</f>
        <v>0</v>
      </c>
      <c r="N31" s="410">
        <f>'NG Nat. Gas Cost Annual'!$O75</f>
        <v>0</v>
      </c>
      <c r="O31" s="410"/>
      <c r="P31" s="357"/>
      <c r="Q31" s="358">
        <f t="shared" si="0"/>
        <v>0</v>
      </c>
      <c r="R31" s="359">
        <f>M31*0.005*0.001*Reference!$I$12</f>
        <v>0</v>
      </c>
      <c r="S31" s="360">
        <f>M31*0.0001*0.001*Reference!$I$13</f>
        <v>0</v>
      </c>
      <c r="T31" s="358">
        <f>(J31*Reference!$F$11/1000)/2204.62</f>
        <v>1.2023047055728426</v>
      </c>
      <c r="U31" s="359">
        <f>(J31/1000*Reference!$F$12)/2204.62*Reference!$I$12</f>
        <v>1.0026644138218831E-3</v>
      </c>
      <c r="V31" s="359">
        <f>(J31/1000*Reference!$F$13)/2204.62*Reference!$I$13</f>
        <v>6.6730796690586134E-3</v>
      </c>
      <c r="W31" s="359">
        <f t="shared" si="1"/>
        <v>1.2099804496557232</v>
      </c>
    </row>
    <row r="32" spans="1:23" s="355" customFormat="1">
      <c r="A32" s="404" t="s">
        <v>617</v>
      </c>
      <c r="B32" s="460">
        <v>3798043001</v>
      </c>
      <c r="C32" s="470" t="s">
        <v>520</v>
      </c>
      <c r="D32" s="470" t="s">
        <v>532</v>
      </c>
      <c r="E32" s="366" t="s">
        <v>477</v>
      </c>
      <c r="F32" s="366" t="s">
        <v>596</v>
      </c>
      <c r="G32" s="366" t="s">
        <v>486</v>
      </c>
      <c r="H32" s="366" t="s">
        <v>33</v>
      </c>
      <c r="I32" s="367" t="s">
        <v>565</v>
      </c>
      <c r="J32" s="371">
        <f>'NG Elec KWH Annual'!$O60</f>
        <v>101</v>
      </c>
      <c r="K32" s="409">
        <f>'NG Elec Cost Annual'!$O60</f>
        <v>262.83999999999997</v>
      </c>
      <c r="L32" s="409">
        <f t="shared" si="2"/>
        <v>2.602376237623762</v>
      </c>
      <c r="M32" s="356">
        <f>'NG Nat. Gas Therms Annual'!$O60</f>
        <v>0</v>
      </c>
      <c r="N32" s="410">
        <f>'NG Nat. Gas Cost Annual'!$O60</f>
        <v>0</v>
      </c>
      <c r="O32" s="410"/>
      <c r="P32" s="357"/>
      <c r="Q32" s="358">
        <f t="shared" si="0"/>
        <v>0</v>
      </c>
      <c r="R32" s="359">
        <f>M32*0.005*0.001*Reference!$I$12</f>
        <v>0</v>
      </c>
      <c r="S32" s="360">
        <f>M32*0.0001*0.001*Reference!$I$13</f>
        <v>0</v>
      </c>
      <c r="T32" s="358">
        <f>(J32*Reference!$F$11/1000)/2204.62</f>
        <v>2.8633052408124759E-2</v>
      </c>
      <c r="U32" s="359">
        <f>(J32/1000*Reference!$F$12)/2204.62*Reference!$I$12</f>
        <v>2.3878591321860456E-5</v>
      </c>
      <c r="V32" s="359">
        <f>(J32/1000*Reference!$F$13)/2204.62*Reference!$I$13</f>
        <v>1.5892031279767036E-4</v>
      </c>
      <c r="W32" s="359">
        <f t="shared" si="1"/>
        <v>2.8815851312244289E-2</v>
      </c>
    </row>
    <row r="33" spans="1:27" s="355" customFormat="1">
      <c r="A33" s="404" t="s">
        <v>617</v>
      </c>
      <c r="B33" s="460">
        <v>173880101</v>
      </c>
      <c r="C33" s="470" t="s">
        <v>495</v>
      </c>
      <c r="D33" s="470" t="s">
        <v>560</v>
      </c>
      <c r="E33" s="366" t="s">
        <v>477</v>
      </c>
      <c r="F33" s="366" t="s">
        <v>596</v>
      </c>
      <c r="G33" s="366" t="s">
        <v>486</v>
      </c>
      <c r="H33" s="366" t="s">
        <v>55</v>
      </c>
      <c r="I33" s="367"/>
      <c r="J33" s="371">
        <f>'NG Elec KWH Annual'!$O16</f>
        <v>721</v>
      </c>
      <c r="K33" s="409">
        <f>'NG Elec Cost Annual'!$O16</f>
        <v>130.83000000000001</v>
      </c>
      <c r="L33" s="409">
        <f t="shared" si="2"/>
        <v>0.18145631067961165</v>
      </c>
      <c r="M33" s="356">
        <f>'NG Nat. Gas Therms Annual'!$O16</f>
        <v>0</v>
      </c>
      <c r="N33" s="410">
        <f>'NG Nat. Gas Cost Annual'!$O16</f>
        <v>0</v>
      </c>
      <c r="O33" s="410"/>
      <c r="P33" s="357"/>
      <c r="Q33" s="358">
        <f t="shared" si="0"/>
        <v>0</v>
      </c>
      <c r="R33" s="359">
        <f>M33*0.005*0.001*Reference!$I$12</f>
        <v>0</v>
      </c>
      <c r="S33" s="360">
        <f>M33*0.0001*0.001*Reference!$I$13</f>
        <v>0</v>
      </c>
      <c r="T33" s="358">
        <f>(J33*Reference!$F$11/1000)/2204.62</f>
        <v>0.20440030481443516</v>
      </c>
      <c r="U33" s="359">
        <f>(J33/1000*Reference!$F$12)/2204.62*Reference!$I$12</f>
        <v>1.7046004300060784E-4</v>
      </c>
      <c r="V33" s="359">
        <f>(J33/1000*Reference!$F$13)/2204.62*Reference!$I$13</f>
        <v>1.1344707477932707E-3</v>
      </c>
      <c r="W33" s="359">
        <f t="shared" si="1"/>
        <v>0.20570523560522905</v>
      </c>
    </row>
    <row r="34" spans="1:27" s="355" customFormat="1">
      <c r="A34" s="404" t="s">
        <v>617</v>
      </c>
      <c r="B34" s="460">
        <v>8993882105</v>
      </c>
      <c r="C34" s="470" t="s">
        <v>495</v>
      </c>
      <c r="D34" s="470" t="s">
        <v>560</v>
      </c>
      <c r="E34" s="366" t="s">
        <v>477</v>
      </c>
      <c r="F34" s="366" t="s">
        <v>596</v>
      </c>
      <c r="G34" s="366" t="s">
        <v>486</v>
      </c>
      <c r="H34" s="366" t="s">
        <v>46</v>
      </c>
      <c r="I34" s="367"/>
      <c r="J34" s="371">
        <f>'NG Elec KWH Annual'!$O89</f>
        <v>985</v>
      </c>
      <c r="K34" s="409">
        <f>'NG Elec Cost Annual'!$O89</f>
        <v>1150.7999999999997</v>
      </c>
      <c r="L34" s="409">
        <f t="shared" si="2"/>
        <v>1.1683248730964464</v>
      </c>
      <c r="M34" s="356">
        <f>'NG Nat. Gas Therms Annual'!$O89</f>
        <v>0</v>
      </c>
      <c r="N34" s="410">
        <f>'NG Nat. Gas Cost Annual'!$O89</f>
        <v>0</v>
      </c>
      <c r="O34" s="410"/>
      <c r="P34" s="357"/>
      <c r="Q34" s="358">
        <f t="shared" si="0"/>
        <v>0</v>
      </c>
      <c r="R34" s="359">
        <f>M34*0.005*0.001*Reference!$I$12</f>
        <v>0</v>
      </c>
      <c r="S34" s="360">
        <f>M34*0.0001*0.001*Reference!$I$13</f>
        <v>0</v>
      </c>
      <c r="T34" s="358">
        <f>(J34*Reference!$F$11/1000)/2204.62</f>
        <v>0.27924313487131569</v>
      </c>
      <c r="U34" s="359">
        <f>(J34/1000*Reference!$F$12)/2204.62*Reference!$I$12</f>
        <v>2.3287537081220346E-4</v>
      </c>
      <c r="V34" s="359">
        <f>(J34/1000*Reference!$F$13)/2204.62*Reference!$I$13</f>
        <v>1.5498664168881713E-3</v>
      </c>
      <c r="W34" s="359">
        <f t="shared" si="1"/>
        <v>0.28102587665901602</v>
      </c>
    </row>
    <row r="35" spans="1:27" s="355" customFormat="1">
      <c r="A35" s="404" t="s">
        <v>617</v>
      </c>
      <c r="B35" s="460">
        <v>1193808115</v>
      </c>
      <c r="C35" s="470" t="s">
        <v>503</v>
      </c>
      <c r="D35" s="470" t="s">
        <v>532</v>
      </c>
      <c r="E35" s="366" t="s">
        <v>477</v>
      </c>
      <c r="F35" s="366" t="s">
        <v>596</v>
      </c>
      <c r="G35" s="366" t="s">
        <v>486</v>
      </c>
      <c r="H35" s="366" t="s">
        <v>63</v>
      </c>
      <c r="I35" s="367" t="s">
        <v>594</v>
      </c>
      <c r="J35" s="371">
        <f>'NG Elec KWH Annual'!$O33</f>
        <v>3130</v>
      </c>
      <c r="K35" s="409">
        <f>'NG Elec Cost Annual'!$O33</f>
        <v>454.23999999999995</v>
      </c>
      <c r="L35" s="409">
        <f t="shared" si="2"/>
        <v>0.14512460063897761</v>
      </c>
      <c r="M35" s="356">
        <f>'NG Nat. Gas Therms Annual'!$O33</f>
        <v>0</v>
      </c>
      <c r="N35" s="410">
        <f>'NG Nat. Gas Cost Annual'!$O33</f>
        <v>0</v>
      </c>
      <c r="O35" s="410"/>
      <c r="P35" s="357"/>
      <c r="Q35" s="358">
        <f t="shared" si="0"/>
        <v>0</v>
      </c>
      <c r="R35" s="359">
        <f>M35*0.005*0.001*Reference!$I$12</f>
        <v>0</v>
      </c>
      <c r="S35" s="360">
        <f>M35*0.0001*0.001*Reference!$I$13</f>
        <v>0</v>
      </c>
      <c r="T35" s="358">
        <f>(J35*Reference!$F$11/1000)/2204.62</f>
        <v>0.88734112908347018</v>
      </c>
      <c r="U35" s="359">
        <f>(J35/1000*Reference!$F$12)/2204.62*Reference!$I$12</f>
        <v>7.3999990928141804E-4</v>
      </c>
      <c r="V35" s="359">
        <f>(J35/1000*Reference!$F$13)/2204.62*Reference!$I$13</f>
        <v>4.9249562282842399E-3</v>
      </c>
      <c r="W35" s="359">
        <f t="shared" si="1"/>
        <v>0.89300608522103586</v>
      </c>
    </row>
    <row r="36" spans="1:27" s="355" customFormat="1">
      <c r="A36" s="404" t="s">
        <v>617</v>
      </c>
      <c r="B36" s="460">
        <v>5293880104</v>
      </c>
      <c r="C36" s="470" t="s">
        <v>495</v>
      </c>
      <c r="D36" s="470" t="s">
        <v>560</v>
      </c>
      <c r="E36" s="366" t="s">
        <v>477</v>
      </c>
      <c r="F36" s="366" t="s">
        <v>596</v>
      </c>
      <c r="G36" s="366" t="s">
        <v>486</v>
      </c>
      <c r="H36" s="366" t="s">
        <v>651</v>
      </c>
      <c r="I36" s="367" t="s">
        <v>622</v>
      </c>
      <c r="J36" s="371">
        <f>'NG Elec KWH Annual'!$O72</f>
        <v>393295</v>
      </c>
      <c r="K36" s="409">
        <f>'NG Elec Cost Annual'!$O72</f>
        <v>121385.06000000001</v>
      </c>
      <c r="L36" s="409">
        <f t="shared" si="2"/>
        <v>0.30863616369391933</v>
      </c>
      <c r="M36" s="356">
        <f>'NG Nat. Gas Therms Annual'!$O72</f>
        <v>0</v>
      </c>
      <c r="N36" s="410">
        <f>'NG Nat. Gas Cost Annual'!$O72</f>
        <v>0</v>
      </c>
      <c r="O36" s="410"/>
      <c r="P36" s="357"/>
      <c r="Q36" s="358">
        <f t="shared" si="0"/>
        <v>0</v>
      </c>
      <c r="R36" s="359">
        <f>M36*0.005*0.001*Reference!$I$12</f>
        <v>0</v>
      </c>
      <c r="S36" s="360">
        <f>M36*0.0001*0.001*Reference!$I$13</f>
        <v>0</v>
      </c>
      <c r="T36" s="358">
        <f>(J36*Reference!$F$11/1000)/2204.62</f>
        <v>111.4973895728062</v>
      </c>
      <c r="U36" s="359">
        <f>(J36/1000*Reference!$F$12)/2204.62*Reference!$I$12</f>
        <v>9.2983471029020867E-2</v>
      </c>
      <c r="V36" s="359">
        <f>(J36/1000*Reference!$F$13)/2204.62*Reference!$I$13</f>
        <v>0.61883727150257195</v>
      </c>
      <c r="W36" s="359">
        <f t="shared" si="1"/>
        <v>112.20921031533778</v>
      </c>
      <c r="X36" s="361"/>
      <c r="Y36" s="361"/>
      <c r="Z36" s="361"/>
      <c r="AA36" s="361"/>
    </row>
    <row r="37" spans="1:27" s="355" customFormat="1">
      <c r="A37" s="404" t="s">
        <v>617</v>
      </c>
      <c r="B37" s="372">
        <v>2480127108</v>
      </c>
      <c r="C37" s="470" t="s">
        <v>510</v>
      </c>
      <c r="D37" s="470" t="s">
        <v>585</v>
      </c>
      <c r="E37" s="366" t="s">
        <v>477</v>
      </c>
      <c r="F37" s="366" t="s">
        <v>596</v>
      </c>
      <c r="G37" s="366" t="s">
        <v>486</v>
      </c>
      <c r="H37" s="366" t="s">
        <v>449</v>
      </c>
      <c r="I37" s="367" t="s">
        <v>688</v>
      </c>
      <c r="J37" s="371">
        <f>'NG Elec KWH Annual'!$O45</f>
        <v>3984</v>
      </c>
      <c r="K37" s="409">
        <f>'NG Elec Cost Annual'!$O45</f>
        <v>529.27</v>
      </c>
      <c r="L37" s="409">
        <f t="shared" si="2"/>
        <v>0.13284889558232932</v>
      </c>
      <c r="M37" s="356">
        <f>'NG Nat. Gas Therms Annual'!$O45</f>
        <v>0</v>
      </c>
      <c r="N37" s="410">
        <f>'NG Nat. Gas Cost Annual'!$O45</f>
        <v>0</v>
      </c>
      <c r="O37" s="410"/>
      <c r="P37" s="357"/>
      <c r="Q37" s="358">
        <f t="shared" si="0"/>
        <v>0</v>
      </c>
      <c r="R37" s="359">
        <f>M37*0.005*0.001*Reference!$I$12</f>
        <v>0</v>
      </c>
      <c r="S37" s="360">
        <f>M37*0.0001*0.001*Reference!$I$13</f>
        <v>0</v>
      </c>
      <c r="T37" s="358">
        <f>(J37*Reference!$F$11/1000)/2204.62</f>
        <v>1.1294463444947429</v>
      </c>
      <c r="U37" s="359">
        <f>(J37/1000*Reference!$F$12)/2204.62*Reference!$I$12</f>
        <v>9.419040378840798E-4</v>
      </c>
      <c r="V37" s="359">
        <f>(J37/1000*Reference!$F$13)/2204.62*Reference!$I$13</f>
        <v>6.2686982790685032E-3</v>
      </c>
      <c r="W37" s="359">
        <f t="shared" si="1"/>
        <v>1.1366569468116956</v>
      </c>
    </row>
    <row r="38" spans="1:27" s="355" customFormat="1">
      <c r="A38" s="404" t="s">
        <v>617</v>
      </c>
      <c r="B38" s="372">
        <v>5513812108</v>
      </c>
      <c r="C38" s="470" t="s">
        <v>510</v>
      </c>
      <c r="D38" s="470" t="s">
        <v>585</v>
      </c>
      <c r="E38" s="366" t="s">
        <v>477</v>
      </c>
      <c r="F38" s="366" t="s">
        <v>596</v>
      </c>
      <c r="G38" s="366" t="s">
        <v>486</v>
      </c>
      <c r="H38" s="366" t="s">
        <v>457</v>
      </c>
      <c r="I38" s="367" t="s">
        <v>688</v>
      </c>
      <c r="J38" s="371">
        <f>'NG Elec KWH Annual'!$O74</f>
        <v>18480</v>
      </c>
      <c r="K38" s="409">
        <f>'NG Elec Cost Annual'!$O74</f>
        <v>2042.2999999999997</v>
      </c>
      <c r="L38" s="409">
        <f t="shared" si="2"/>
        <v>0.11051406926406925</v>
      </c>
      <c r="M38" s="356">
        <f>'NG Nat. Gas Therms Annual'!$O74</f>
        <v>0</v>
      </c>
      <c r="N38" s="410">
        <f>'NG Nat. Gas Cost Annual'!$O74</f>
        <v>0</v>
      </c>
      <c r="O38" s="410"/>
      <c r="P38" s="357"/>
      <c r="Q38" s="358">
        <f t="shared" si="0"/>
        <v>0</v>
      </c>
      <c r="R38" s="359">
        <f>M38*0.005*0.001*Reference!$I$12</f>
        <v>0</v>
      </c>
      <c r="S38" s="360">
        <f>M38*0.0001*0.001*Reference!$I$13</f>
        <v>0</v>
      </c>
      <c r="T38" s="358">
        <f>(J38*Reference!$F$11/1000)/2204.62</f>
        <v>5.2389981039816389</v>
      </c>
      <c r="U38" s="359">
        <f>(J38/1000*Reference!$F$12)/2204.62*Reference!$I$12</f>
        <v>4.3690729468116949E-3</v>
      </c>
      <c r="V38" s="359">
        <f>(J38/1000*Reference!$F$13)/2204.62*Reference!$I$13</f>
        <v>2.907769683664305E-2</v>
      </c>
      <c r="W38" s="359">
        <f t="shared" si="1"/>
        <v>5.2724448737650933</v>
      </c>
    </row>
    <row r="39" spans="1:27" s="355" customFormat="1">
      <c r="A39" s="553" t="s">
        <v>618</v>
      </c>
      <c r="B39" s="554" t="s">
        <v>653</v>
      </c>
      <c r="C39" s="555"/>
      <c r="D39" s="555" t="s">
        <v>560</v>
      </c>
      <c r="E39" s="554" t="s">
        <v>477</v>
      </c>
      <c r="F39" s="554" t="s">
        <v>596</v>
      </c>
      <c r="G39" s="554" t="s">
        <v>486</v>
      </c>
      <c r="H39" s="556" t="s">
        <v>661</v>
      </c>
      <c r="I39" s="438" t="s">
        <v>683</v>
      </c>
      <c r="J39" s="574">
        <v>5117</v>
      </c>
      <c r="K39" s="576">
        <f t="shared" ref="K39:K45" si="3">J39*$J$112</f>
        <v>731.85640769344081</v>
      </c>
      <c r="L39" s="576">
        <f t="shared" si="2"/>
        <v>0.14302450805031089</v>
      </c>
      <c r="M39" s="356">
        <v>0</v>
      </c>
      <c r="N39" s="557">
        <v>0</v>
      </c>
      <c r="O39" s="557"/>
      <c r="P39" s="357"/>
      <c r="Q39" s="358">
        <f t="shared" si="0"/>
        <v>0</v>
      </c>
      <c r="R39" s="359">
        <f>M39*0.005*0.001*Reference!$I$12</f>
        <v>0</v>
      </c>
      <c r="S39" s="360">
        <f>M39*0.0001*0.001*Reference!$I$13</f>
        <v>0</v>
      </c>
      <c r="T39" s="358">
        <f>(J39*Reference!$F$11/1000)/2204.62</f>
        <v>1.4506468234888552</v>
      </c>
      <c r="U39" s="359">
        <f>(J39/1000*Reference!$F$12)/2204.62*Reference!$I$12</f>
        <v>1.2097698197421776E-3</v>
      </c>
      <c r="V39" s="359">
        <f>(J39/1000*Reference!$F$13)/2204.62*Reference!$I$13</f>
        <v>8.0514380256007847E-3</v>
      </c>
      <c r="W39" s="359">
        <f t="shared" si="1"/>
        <v>1.4599080313341981</v>
      </c>
      <c r="X39" s="361"/>
      <c r="Y39" s="361"/>
      <c r="Z39" s="361"/>
      <c r="AA39" s="361"/>
    </row>
    <row r="40" spans="1:27" s="355" customFormat="1">
      <c r="A40" s="553" t="s">
        <v>618</v>
      </c>
      <c r="B40" s="554" t="s">
        <v>654</v>
      </c>
      <c r="C40" s="555"/>
      <c r="D40" s="555" t="s">
        <v>560</v>
      </c>
      <c r="E40" s="554" t="s">
        <v>477</v>
      </c>
      <c r="F40" s="554" t="s">
        <v>596</v>
      </c>
      <c r="G40" s="554" t="s">
        <v>486</v>
      </c>
      <c r="H40" s="556" t="s">
        <v>662</v>
      </c>
      <c r="I40" s="438" t="s">
        <v>683</v>
      </c>
      <c r="J40" s="574">
        <v>535</v>
      </c>
      <c r="K40" s="576">
        <f t="shared" si="3"/>
        <v>76.518111806916323</v>
      </c>
      <c r="L40" s="576">
        <f t="shared" si="2"/>
        <v>0.14302450805031089</v>
      </c>
      <c r="M40" s="356">
        <v>0</v>
      </c>
      <c r="N40" s="557">
        <v>0</v>
      </c>
      <c r="O40" s="557"/>
      <c r="P40" s="357"/>
      <c r="Q40" s="358">
        <f t="shared" si="0"/>
        <v>0</v>
      </c>
      <c r="R40" s="359">
        <f>M40*0.005*0.001*Reference!$I$12</f>
        <v>0</v>
      </c>
      <c r="S40" s="360">
        <f>M40*0.0001*0.001*Reference!$I$13</f>
        <v>0</v>
      </c>
      <c r="T40" s="358">
        <f>(J40*Reference!$F$11/1000)/2204.62</f>
        <v>0.15167012909254204</v>
      </c>
      <c r="U40" s="359">
        <f>(J40/1000*Reference!$F$12)/2204.62*Reference!$I$12</f>
        <v>1.2648560749698362E-4</v>
      </c>
      <c r="V40" s="359">
        <f>(J40/1000*Reference!$F$13)/2204.62*Reference!$I$13</f>
        <v>8.4180561729459049E-4</v>
      </c>
      <c r="W40" s="359">
        <f t="shared" si="1"/>
        <v>0.1526384203173336</v>
      </c>
    </row>
    <row r="41" spans="1:27" s="355" customFormat="1">
      <c r="A41" s="553" t="s">
        <v>618</v>
      </c>
      <c r="B41" s="554" t="s">
        <v>655</v>
      </c>
      <c r="C41" s="555"/>
      <c r="D41" s="555" t="s">
        <v>560</v>
      </c>
      <c r="E41" s="554" t="s">
        <v>477</v>
      </c>
      <c r="F41" s="554" t="s">
        <v>596</v>
      </c>
      <c r="G41" s="554" t="s">
        <v>486</v>
      </c>
      <c r="H41" s="556" t="s">
        <v>663</v>
      </c>
      <c r="I41" s="438" t="s">
        <v>683</v>
      </c>
      <c r="J41" s="574">
        <v>9842</v>
      </c>
      <c r="K41" s="576">
        <f t="shared" si="3"/>
        <v>1407.6472082311598</v>
      </c>
      <c r="L41" s="576">
        <f t="shared" si="2"/>
        <v>0.14302450805031089</v>
      </c>
      <c r="M41" s="356">
        <v>0</v>
      </c>
      <c r="N41" s="557">
        <v>0</v>
      </c>
      <c r="O41" s="557"/>
      <c r="P41" s="357"/>
      <c r="Q41" s="358">
        <f t="shared" si="0"/>
        <v>0</v>
      </c>
      <c r="R41" s="359">
        <f>M41*0.005*0.001*Reference!$I$12</f>
        <v>0</v>
      </c>
      <c r="S41" s="360">
        <f>M41*0.0001*0.001*Reference!$I$13</f>
        <v>0</v>
      </c>
      <c r="T41" s="358">
        <f>(J41*Reference!$F$11/1000)/2204.62</f>
        <v>2.7901633841659788</v>
      </c>
      <c r="U41" s="359">
        <f>(J41/1000*Reference!$F$12)/2204.62*Reference!$I$12</f>
        <v>2.3268623345519862E-3</v>
      </c>
      <c r="V41" s="359">
        <f>(J41/1000*Reference!$F$13)/2204.62*Reference!$I$13</f>
        <v>1.5486076421333383E-2</v>
      </c>
      <c r="W41" s="359">
        <f t="shared" si="1"/>
        <v>2.8079763229218639</v>
      </c>
    </row>
    <row r="42" spans="1:27" s="355" customFormat="1">
      <c r="A42" s="553" t="s">
        <v>618</v>
      </c>
      <c r="B42" s="554" t="s">
        <v>656</v>
      </c>
      <c r="C42" s="555"/>
      <c r="D42" s="555" t="s">
        <v>560</v>
      </c>
      <c r="E42" s="554" t="s">
        <v>477</v>
      </c>
      <c r="F42" s="554" t="s">
        <v>596</v>
      </c>
      <c r="G42" s="554" t="s">
        <v>486</v>
      </c>
      <c r="H42" s="556" t="s">
        <v>663</v>
      </c>
      <c r="I42" s="438" t="s">
        <v>683</v>
      </c>
      <c r="J42" s="574">
        <v>144888</v>
      </c>
      <c r="K42" s="576">
        <f t="shared" si="3"/>
        <v>20722.534922393443</v>
      </c>
      <c r="L42" s="576">
        <f t="shared" si="2"/>
        <v>0.14302450805031089</v>
      </c>
      <c r="M42" s="356">
        <v>0</v>
      </c>
      <c r="N42" s="557">
        <v>0</v>
      </c>
      <c r="O42" s="557"/>
      <c r="P42" s="357"/>
      <c r="Q42" s="358">
        <f t="shared" si="0"/>
        <v>0</v>
      </c>
      <c r="R42" s="359">
        <f>M42*0.005*0.001*Reference!$I$12</f>
        <v>0</v>
      </c>
      <c r="S42" s="360">
        <f>M42*0.0001*0.001*Reference!$I$13</f>
        <v>0</v>
      </c>
      <c r="T42" s="358">
        <f>(J42*Reference!$F$11/1000)/2204.62</f>
        <v>41.075105913944356</v>
      </c>
      <c r="U42" s="359">
        <f>(J42/1000*Reference!$F$12)/2204.62*Reference!$I$12</f>
        <v>3.4254666727145722E-2</v>
      </c>
      <c r="V42" s="359">
        <f>(J42/1000*Reference!$F$13)/2204.62*Reference!$I$13</f>
        <v>0.22797669584781052</v>
      </c>
      <c r="W42" s="359">
        <f t="shared" si="1"/>
        <v>41.337337276519307</v>
      </c>
    </row>
    <row r="43" spans="1:27" s="355" customFormat="1">
      <c r="A43" s="553" t="s">
        <v>618</v>
      </c>
      <c r="B43" s="554" t="s">
        <v>657</v>
      </c>
      <c r="C43" s="555"/>
      <c r="D43" s="555" t="s">
        <v>560</v>
      </c>
      <c r="E43" s="554" t="s">
        <v>477</v>
      </c>
      <c r="F43" s="554" t="s">
        <v>596</v>
      </c>
      <c r="G43" s="554" t="s">
        <v>486</v>
      </c>
      <c r="H43" s="556" t="s">
        <v>664</v>
      </c>
      <c r="I43" s="438" t="s">
        <v>683</v>
      </c>
      <c r="J43" s="574">
        <v>2037</v>
      </c>
      <c r="K43" s="576">
        <f t="shared" si="3"/>
        <v>291.34092289848326</v>
      </c>
      <c r="L43" s="576">
        <f t="shared" si="2"/>
        <v>0.14302450805031089</v>
      </c>
      <c r="M43" s="356">
        <v>0</v>
      </c>
      <c r="N43" s="557">
        <v>0</v>
      </c>
      <c r="O43" s="557"/>
      <c r="P43" s="357"/>
      <c r="Q43" s="358">
        <f t="shared" si="0"/>
        <v>0</v>
      </c>
      <c r="R43" s="359">
        <f>M43*0.005*0.001*Reference!$I$12</f>
        <v>0</v>
      </c>
      <c r="S43" s="360">
        <f>M43*0.0001*0.001*Reference!$I$13</f>
        <v>0</v>
      </c>
      <c r="T43" s="358">
        <f>(J43*Reference!$F$11/1000)/2204.62</f>
        <v>0.57748047282524884</v>
      </c>
      <c r="U43" s="359">
        <f>(J43/1000*Reference!$F$12)/2204.62*Reference!$I$12</f>
        <v>4.8159099527356186E-4</v>
      </c>
      <c r="V43" s="359">
        <f>(J43/1000*Reference!$F$13)/2204.62*Reference!$I$13</f>
        <v>3.2051552194936089E-3</v>
      </c>
      <c r="W43" s="359">
        <f t="shared" si="1"/>
        <v>0.581167219040016</v>
      </c>
    </row>
    <row r="44" spans="1:27" s="355" customFormat="1">
      <c r="A44" s="553" t="s">
        <v>618</v>
      </c>
      <c r="B44" s="554" t="s">
        <v>658</v>
      </c>
      <c r="C44" s="555"/>
      <c r="D44" s="555" t="s">
        <v>560</v>
      </c>
      <c r="E44" s="554" t="s">
        <v>477</v>
      </c>
      <c r="F44" s="554" t="s">
        <v>596</v>
      </c>
      <c r="G44" s="554" t="s">
        <v>486</v>
      </c>
      <c r="H44" s="556" t="s">
        <v>665</v>
      </c>
      <c r="I44" s="438" t="s">
        <v>683</v>
      </c>
      <c r="J44" s="574">
        <v>6011</v>
      </c>
      <c r="K44" s="576">
        <f t="shared" si="3"/>
        <v>859.72031789041876</v>
      </c>
      <c r="L44" s="576">
        <f t="shared" si="2"/>
        <v>0.14302450805031089</v>
      </c>
      <c r="M44" s="356">
        <v>0</v>
      </c>
      <c r="N44" s="557">
        <v>0</v>
      </c>
      <c r="O44" s="557"/>
      <c r="P44" s="357"/>
      <c r="Q44" s="358">
        <f t="shared" si="0"/>
        <v>0</v>
      </c>
      <c r="R44" s="359">
        <f>M44*0.005*0.001*Reference!$I$12</f>
        <v>0</v>
      </c>
      <c r="S44" s="360">
        <f>M44*0.0001*0.001*Reference!$I$13</f>
        <v>0</v>
      </c>
      <c r="T44" s="358">
        <f>(J44*Reference!$F$11/1000)/2204.62</f>
        <v>1.704091861636019</v>
      </c>
      <c r="U44" s="359">
        <f>(J44/1000*Reference!$F$12)/2204.62*Reference!$I$12</f>
        <v>1.4211308161950812E-3</v>
      </c>
      <c r="V44" s="359">
        <f>(J44/1000*Reference!$F$13)/2204.62*Reference!$I$13</f>
        <v>9.4581188141266981E-3</v>
      </c>
      <c r="W44" s="359">
        <f t="shared" si="1"/>
        <v>1.7149711112663408</v>
      </c>
    </row>
    <row r="45" spans="1:27" s="355" customFormat="1">
      <c r="A45" s="553" t="s">
        <v>618</v>
      </c>
      <c r="B45" s="554" t="s">
        <v>659</v>
      </c>
      <c r="C45" s="555"/>
      <c r="D45" s="555" t="s">
        <v>560</v>
      </c>
      <c r="E45" s="554" t="s">
        <v>477</v>
      </c>
      <c r="F45" s="554" t="s">
        <v>596</v>
      </c>
      <c r="G45" s="554" t="s">
        <v>486</v>
      </c>
      <c r="H45" s="556" t="s">
        <v>660</v>
      </c>
      <c r="I45" s="438" t="s">
        <v>683</v>
      </c>
      <c r="J45" s="574">
        <v>3029</v>
      </c>
      <c r="K45" s="576">
        <f t="shared" si="3"/>
        <v>433.22123488439166</v>
      </c>
      <c r="L45" s="576">
        <f t="shared" si="2"/>
        <v>0.14302450805031089</v>
      </c>
      <c r="M45" s="356">
        <v>0</v>
      </c>
      <c r="N45" s="557">
        <v>0</v>
      </c>
      <c r="O45" s="557"/>
      <c r="P45" s="357"/>
      <c r="Q45" s="358">
        <f t="shared" si="0"/>
        <v>0</v>
      </c>
      <c r="R45" s="359">
        <f>M45*0.005*0.001*Reference!$I$12</f>
        <v>0</v>
      </c>
      <c r="S45" s="360">
        <f>M45*0.0001*0.001*Reference!$I$13</f>
        <v>0</v>
      </c>
      <c r="T45" s="358">
        <f>(J45*Reference!$F$11/1000)/2204.62</f>
        <v>0.85870807667534543</v>
      </c>
      <c r="U45" s="359">
        <f>(J45/1000*Reference!$F$12)/2204.62*Reference!$I$12</f>
        <v>7.1612131795955756E-4</v>
      </c>
      <c r="V45" s="359">
        <f>(J45/1000*Reference!$F$13)/2204.62*Reference!$I$13</f>
        <v>4.7660359154865694E-3</v>
      </c>
      <c r="W45" s="359">
        <f t="shared" si="1"/>
        <v>0.86419023390879146</v>
      </c>
    </row>
    <row r="46" spans="1:27" s="355" customFormat="1">
      <c r="A46" s="404" t="s">
        <v>617</v>
      </c>
      <c r="B46" s="460">
        <v>7312015014</v>
      </c>
      <c r="C46" s="470" t="s">
        <v>505</v>
      </c>
      <c r="D46" s="470" t="s">
        <v>560</v>
      </c>
      <c r="E46" s="366" t="s">
        <v>477</v>
      </c>
      <c r="F46" s="366" t="s">
        <v>422</v>
      </c>
      <c r="G46" s="366" t="s">
        <v>486</v>
      </c>
      <c r="H46" s="366" t="s">
        <v>45</v>
      </c>
      <c r="I46" s="367"/>
      <c r="J46" s="371">
        <f>'NG Elec KWH Annual'!$O86</f>
        <v>999</v>
      </c>
      <c r="K46" s="409">
        <f>'NG Elec Cost Annual'!$O86</f>
        <v>312.38</v>
      </c>
      <c r="L46" s="409">
        <f t="shared" si="2"/>
        <v>0.31269269269269268</v>
      </c>
      <c r="M46" s="356">
        <f>'NG Nat. Gas Therms Annual'!$O86</f>
        <v>0</v>
      </c>
      <c r="N46" s="410">
        <f>'NG Nat. Gas Cost Annual'!$O86</f>
        <v>0</v>
      </c>
      <c r="O46" s="410"/>
      <c r="P46" s="357"/>
      <c r="Q46" s="358">
        <f t="shared" si="0"/>
        <v>0</v>
      </c>
      <c r="R46" s="359">
        <f>M46*0.005*0.001*Reference!$I$12</f>
        <v>0</v>
      </c>
      <c r="S46" s="360">
        <f>M46*0.0001*0.001*Reference!$I$13</f>
        <v>0</v>
      </c>
      <c r="T46" s="358">
        <f>(J46*Reference!$F$11/1000)/2204.62</f>
        <v>0.28321207282887756</v>
      </c>
      <c r="U46" s="359">
        <f>(J46/1000*Reference!$F$12)/2204.62*Reference!$I$12</f>
        <v>2.361852745597881E-4</v>
      </c>
      <c r="V46" s="359">
        <f>(J46/1000*Reference!$F$13)/2204.62*Reference!$I$13</f>
        <v>1.5718949750977496E-3</v>
      </c>
      <c r="W46" s="359">
        <f t="shared" si="1"/>
        <v>0.28502015307853507</v>
      </c>
      <c r="X46" s="361"/>
      <c r="Y46" s="361"/>
      <c r="Z46" s="361"/>
      <c r="AA46" s="361"/>
    </row>
    <row r="47" spans="1:27" s="355" customFormat="1">
      <c r="A47" s="404" t="s">
        <v>617</v>
      </c>
      <c r="B47" s="460">
        <v>1492627005</v>
      </c>
      <c r="C47" s="470" t="s">
        <v>505</v>
      </c>
      <c r="D47" s="470" t="s">
        <v>560</v>
      </c>
      <c r="E47" s="366" t="s">
        <v>477</v>
      </c>
      <c r="F47" s="366" t="s">
        <v>422</v>
      </c>
      <c r="G47" s="366" t="s">
        <v>486</v>
      </c>
      <c r="H47" s="366" t="s">
        <v>64</v>
      </c>
      <c r="I47" s="367"/>
      <c r="J47" s="371">
        <f>'NG Elec KWH Annual'!$O34</f>
        <v>1067</v>
      </c>
      <c r="K47" s="409">
        <f>'NG Elec Cost Annual'!$O34</f>
        <v>316.79999999999995</v>
      </c>
      <c r="L47" s="409">
        <f t="shared" si="2"/>
        <v>0.29690721649484531</v>
      </c>
      <c r="M47" s="356">
        <f>'NG Nat. Gas Therms Annual'!$O34</f>
        <v>0</v>
      </c>
      <c r="N47" s="410">
        <f>'NG Nat. Gas Cost Annual'!$O34</f>
        <v>0</v>
      </c>
      <c r="O47" s="410"/>
      <c r="P47" s="357"/>
      <c r="Q47" s="358">
        <f t="shared" ref="Q47:Q78" si="4">M47*0.1*53.02*0.001</f>
        <v>0</v>
      </c>
      <c r="R47" s="359">
        <f>M47*0.005*0.001*Reference!$I$12</f>
        <v>0</v>
      </c>
      <c r="S47" s="360">
        <f>M47*0.0001*0.001*Reference!$I$13</f>
        <v>0</v>
      </c>
      <c r="T47" s="358">
        <f>(J47*Reference!$F$11/1000)/2204.62</f>
        <v>0.30248977147989226</v>
      </c>
      <c r="U47" s="359">
        <f>(J47/1000*Reference!$F$12)/2204.62*Reference!$I$12</f>
        <v>2.5226194990519908E-4</v>
      </c>
      <c r="V47" s="359">
        <f>(J47/1000*Reference!$F$13)/2204.62*Reference!$I$13</f>
        <v>1.6788908292585569E-3</v>
      </c>
      <c r="W47" s="359">
        <f t="shared" ref="W47:W78" si="5">SUM(Q47:V47)</f>
        <v>0.30442092425905598</v>
      </c>
    </row>
    <row r="48" spans="1:27" s="355" customFormat="1">
      <c r="A48" s="404" t="s">
        <v>617</v>
      </c>
      <c r="B48" s="460">
        <v>1133133008</v>
      </c>
      <c r="C48" s="470" t="s">
        <v>505</v>
      </c>
      <c r="D48" s="470" t="s">
        <v>560</v>
      </c>
      <c r="E48" s="366" t="s">
        <v>477</v>
      </c>
      <c r="F48" s="366" t="s">
        <v>422</v>
      </c>
      <c r="G48" s="366" t="s">
        <v>486</v>
      </c>
      <c r="H48" s="366" t="s">
        <v>460</v>
      </c>
      <c r="I48" s="367"/>
      <c r="J48" s="371">
        <f>'NG Elec KWH Annual'!$O31</f>
        <v>1862</v>
      </c>
      <c r="K48" s="409">
        <f>'NG Elec Cost Annual'!$O31</f>
        <v>367.93</v>
      </c>
      <c r="L48" s="409">
        <f t="shared" si="2"/>
        <v>0.19759935553168637</v>
      </c>
      <c r="M48" s="356">
        <f>'NG Nat. Gas Therms Annual'!$O31</f>
        <v>0</v>
      </c>
      <c r="N48" s="410">
        <f>'NG Nat. Gas Cost Annual'!$O31</f>
        <v>0</v>
      </c>
      <c r="O48" s="410"/>
      <c r="P48" s="357"/>
      <c r="Q48" s="358">
        <f t="shared" si="4"/>
        <v>0</v>
      </c>
      <c r="R48" s="359">
        <f>M48*0.005*0.001*Reference!$I$12</f>
        <v>0</v>
      </c>
      <c r="S48" s="360">
        <f>M48*0.0001*0.001*Reference!$I$13</f>
        <v>0</v>
      </c>
      <c r="T48" s="358">
        <f>(J48*Reference!$F$11/1000)/2204.62</f>
        <v>0.52786874835572573</v>
      </c>
      <c r="U48" s="359">
        <f>(J48/1000*Reference!$F$12)/2204.62*Reference!$I$12</f>
        <v>4.4021719842875419E-4</v>
      </c>
      <c r="V48" s="359">
        <f>(J48/1000*Reference!$F$13)/2204.62*Reference!$I$13</f>
        <v>2.9297982418738837E-3</v>
      </c>
      <c r="W48" s="359">
        <f t="shared" si="5"/>
        <v>0.53123876379602841</v>
      </c>
    </row>
    <row r="49" spans="1:23" s="355" customFormat="1">
      <c r="A49" s="404" t="s">
        <v>617</v>
      </c>
      <c r="B49" s="460">
        <v>4533881110</v>
      </c>
      <c r="C49" s="470" t="s">
        <v>505</v>
      </c>
      <c r="D49" s="470" t="s">
        <v>560</v>
      </c>
      <c r="E49" s="366" t="s">
        <v>477</v>
      </c>
      <c r="F49" s="366" t="s">
        <v>422</v>
      </c>
      <c r="G49" s="366" t="s">
        <v>486</v>
      </c>
      <c r="H49" s="366" t="s">
        <v>36</v>
      </c>
      <c r="I49" s="367"/>
      <c r="J49" s="371">
        <f>'NG Elec KWH Annual'!$O67</f>
        <v>1996</v>
      </c>
      <c r="K49" s="409">
        <f>'NG Elec Cost Annual'!$O67</f>
        <v>330.61</v>
      </c>
      <c r="L49" s="409">
        <f t="shared" si="2"/>
        <v>0.1656362725450902</v>
      </c>
      <c r="M49" s="356">
        <f>'NG Nat. Gas Therms Annual'!$O67</f>
        <v>0</v>
      </c>
      <c r="N49" s="410">
        <f>'NG Nat. Gas Cost Annual'!$O67</f>
        <v>0</v>
      </c>
      <c r="O49" s="410"/>
      <c r="P49" s="357"/>
      <c r="Q49" s="358">
        <f t="shared" si="4"/>
        <v>0</v>
      </c>
      <c r="R49" s="359">
        <f>M49*0.005*0.001*Reference!$I$12</f>
        <v>0</v>
      </c>
      <c r="S49" s="360">
        <f>M49*0.0001*0.001*Reference!$I$13</f>
        <v>0</v>
      </c>
      <c r="T49" s="358">
        <f>(J49*Reference!$F$11/1000)/2204.62</f>
        <v>0.56585715452096053</v>
      </c>
      <c r="U49" s="359">
        <f>(J49/1000*Reference!$F$12)/2204.62*Reference!$I$12</f>
        <v>4.7189770572706407E-4</v>
      </c>
      <c r="V49" s="359">
        <f>(J49/1000*Reference!$F$13)/2204.62*Reference!$I$13</f>
        <v>3.1406430133084163E-3</v>
      </c>
      <c r="W49" s="359">
        <f t="shared" si="5"/>
        <v>0.56946969523999602</v>
      </c>
    </row>
    <row r="50" spans="1:23" s="355" customFormat="1">
      <c r="A50" s="404" t="s">
        <v>617</v>
      </c>
      <c r="B50" s="460">
        <v>3753663109</v>
      </c>
      <c r="C50" s="470" t="s">
        <v>495</v>
      </c>
      <c r="D50" s="470" t="s">
        <v>560</v>
      </c>
      <c r="E50" s="366" t="s">
        <v>477</v>
      </c>
      <c r="F50" s="366" t="s">
        <v>422</v>
      </c>
      <c r="G50" s="366" t="s">
        <v>486</v>
      </c>
      <c r="H50" s="366" t="s">
        <v>32</v>
      </c>
      <c r="I50" s="367"/>
      <c r="J50" s="371">
        <f>'NG Elec KWH Annual'!$O59</f>
        <v>2152</v>
      </c>
      <c r="K50" s="409">
        <f>'NG Elec Cost Annual'!$O59</f>
        <v>2434.5600000000004</v>
      </c>
      <c r="L50" s="409">
        <f t="shared" si="2"/>
        <v>1.1313011152416359</v>
      </c>
      <c r="M50" s="356">
        <f>'NG Nat. Gas Therms Annual'!$O59</f>
        <v>0</v>
      </c>
      <c r="N50" s="410">
        <f>'NG Nat. Gas Cost Annual'!$O59</f>
        <v>0</v>
      </c>
      <c r="O50" s="410"/>
      <c r="P50" s="357"/>
      <c r="Q50" s="358">
        <f t="shared" si="4"/>
        <v>0</v>
      </c>
      <c r="R50" s="359">
        <f>M50*0.005*0.001*Reference!$I$12</f>
        <v>0</v>
      </c>
      <c r="S50" s="360">
        <f>M50*0.0001*0.001*Reference!$I$13</f>
        <v>0</v>
      </c>
      <c r="T50" s="358">
        <f>(J50*Reference!$F$11/1000)/2204.62</f>
        <v>0.6100824631909354</v>
      </c>
      <c r="U50" s="359">
        <f>(J50/1000*Reference!$F$12)/2204.62*Reference!$I$12</f>
        <v>5.0877949034300698E-4</v>
      </c>
      <c r="V50" s="359">
        <f>(J50/1000*Reference!$F$13)/2204.62*Reference!$I$13</f>
        <v>3.3861040905008577E-3</v>
      </c>
      <c r="W50" s="359">
        <f t="shared" si="5"/>
        <v>0.61397734677177929</v>
      </c>
    </row>
    <row r="51" spans="1:23" s="355" customFormat="1">
      <c r="A51" s="404" t="s">
        <v>617</v>
      </c>
      <c r="B51" s="460">
        <v>3040127109</v>
      </c>
      <c r="C51" s="470" t="s">
        <v>515</v>
      </c>
      <c r="D51" s="470" t="s">
        <v>577</v>
      </c>
      <c r="E51" s="366" t="s">
        <v>477</v>
      </c>
      <c r="F51" s="366" t="s">
        <v>422</v>
      </c>
      <c r="G51" s="366" t="s">
        <v>486</v>
      </c>
      <c r="H51" s="366" t="s">
        <v>536</v>
      </c>
      <c r="I51" s="367" t="s">
        <v>409</v>
      </c>
      <c r="J51" s="371">
        <f>'NG Elec KWH Annual'!$O52</f>
        <v>3912</v>
      </c>
      <c r="K51" s="409">
        <f>'NG Elec Cost Annual'!$O52</f>
        <v>673.33</v>
      </c>
      <c r="L51" s="409">
        <f t="shared" si="2"/>
        <v>0.17211912065439675</v>
      </c>
      <c r="M51" s="356">
        <f>'NG Nat. Gas Therms Annual'!$O52</f>
        <v>0</v>
      </c>
      <c r="N51" s="410">
        <f>'NG Nat. Gas Cost Annual'!$O52</f>
        <v>0</v>
      </c>
      <c r="O51" s="410"/>
      <c r="P51" s="357"/>
      <c r="Q51" s="358">
        <f t="shared" si="4"/>
        <v>0</v>
      </c>
      <c r="R51" s="359">
        <f>M51*0.005*0.001*Reference!$I$12</f>
        <v>0</v>
      </c>
      <c r="S51" s="360">
        <f>M51*0.0001*0.001*Reference!$I$13</f>
        <v>0</v>
      </c>
      <c r="T51" s="358">
        <f>(J51*Reference!$F$11/1000)/2204.62</f>
        <v>1.1090346635701391</v>
      </c>
      <c r="U51" s="359">
        <f>(J51/1000*Reference!$F$12)/2204.62*Reference!$I$12</f>
        <v>9.2488167575364457E-4</v>
      </c>
      <c r="V51" s="359">
        <f>(J51/1000*Reference!$F$13)/2204.62*Reference!$I$13</f>
        <v>6.1554085511335288E-3</v>
      </c>
      <c r="W51" s="359">
        <f t="shared" si="5"/>
        <v>1.1161149537970263</v>
      </c>
    </row>
    <row r="52" spans="1:23" s="355" customFormat="1">
      <c r="A52" s="404" t="s">
        <v>617</v>
      </c>
      <c r="B52" s="460">
        <v>6173817104</v>
      </c>
      <c r="C52" s="470" t="s">
        <v>505</v>
      </c>
      <c r="D52" s="470" t="s">
        <v>560</v>
      </c>
      <c r="E52" s="366" t="s">
        <v>477</v>
      </c>
      <c r="F52" s="366" t="s">
        <v>422</v>
      </c>
      <c r="G52" s="366" t="s">
        <v>486</v>
      </c>
      <c r="H52" s="366" t="s">
        <v>23</v>
      </c>
      <c r="I52" s="367" t="s">
        <v>22</v>
      </c>
      <c r="J52" s="371">
        <f>'NG Elec KWH Annual'!$O82</f>
        <v>4183</v>
      </c>
      <c r="K52" s="409">
        <f>'NG Elec Cost Annual'!$O82</f>
        <v>512.5</v>
      </c>
      <c r="L52" s="409">
        <f t="shared" si="2"/>
        <v>0.12251972268706669</v>
      </c>
      <c r="M52" s="356">
        <f>'NG Nat. Gas Therms Annual'!$O82</f>
        <v>0</v>
      </c>
      <c r="N52" s="410">
        <f>'NG Nat. Gas Cost Annual'!$O82</f>
        <v>0</v>
      </c>
      <c r="O52" s="410"/>
      <c r="P52" s="357"/>
      <c r="Q52" s="358">
        <f t="shared" si="4"/>
        <v>0</v>
      </c>
      <c r="R52" s="359">
        <f>M52*0.005*0.001*Reference!$I$12</f>
        <v>0</v>
      </c>
      <c r="S52" s="360">
        <f>M52*0.0001*0.001*Reference!$I$13</f>
        <v>0</v>
      </c>
      <c r="T52" s="358">
        <f>(J52*Reference!$F$11/1000)/2204.62</f>
        <v>1.1858619626058007</v>
      </c>
      <c r="U52" s="359">
        <f>(J52/1000*Reference!$F$12)/2204.62*Reference!$I$12</f>
        <v>9.8895195543903243E-4</v>
      </c>
      <c r="V52" s="359">
        <f>(J52/1000*Reference!$F$13)/2204.62*Reference!$I$13</f>
        <v>6.5818184993332177E-3</v>
      </c>
      <c r="W52" s="359">
        <f t="shared" si="5"/>
        <v>1.193432733060573</v>
      </c>
    </row>
    <row r="53" spans="1:23" s="355" customFormat="1">
      <c r="A53" s="404" t="s">
        <v>617</v>
      </c>
      <c r="B53" s="460">
        <v>1851009009</v>
      </c>
      <c r="C53" s="470" t="s">
        <v>505</v>
      </c>
      <c r="D53" s="470" t="s">
        <v>560</v>
      </c>
      <c r="E53" s="366" t="s">
        <v>477</v>
      </c>
      <c r="F53" s="366" t="s">
        <v>422</v>
      </c>
      <c r="G53" s="366" t="s">
        <v>486</v>
      </c>
      <c r="H53" s="366" t="s">
        <v>69</v>
      </c>
      <c r="I53" s="367"/>
      <c r="J53" s="371">
        <f>'NG Elec KWH Annual'!$O39</f>
        <v>5278</v>
      </c>
      <c r="K53" s="409">
        <f>'NG Elec Cost Annual'!$O39</f>
        <v>585.46</v>
      </c>
      <c r="L53" s="409">
        <f t="shared" si="2"/>
        <v>0.11092459264873059</v>
      </c>
      <c r="M53" s="356">
        <f>'NG Nat. Gas Therms Annual'!$O39</f>
        <v>0</v>
      </c>
      <c r="N53" s="410">
        <f>'NG Nat. Gas Cost Annual'!$O39</f>
        <v>0</v>
      </c>
      <c r="O53" s="410"/>
      <c r="P53" s="357"/>
      <c r="Q53" s="358">
        <f t="shared" si="4"/>
        <v>0</v>
      </c>
      <c r="R53" s="359">
        <f>M53*0.005*0.001*Reference!$I$12</f>
        <v>0</v>
      </c>
      <c r="S53" s="360">
        <f>M53*0.0001*0.001*Reference!$I$13</f>
        <v>0</v>
      </c>
      <c r="T53" s="358">
        <f>(J53*Reference!$F$11/1000)/2204.62</f>
        <v>1.4962896100008165</v>
      </c>
      <c r="U53" s="359">
        <f>(J53/1000*Reference!$F$12)/2204.62*Reference!$I$12</f>
        <v>1.2478337128394006E-3</v>
      </c>
      <c r="V53" s="359">
        <f>(J53/1000*Reference!$F$13)/2204.62*Reference!$I$13</f>
        <v>8.3047664450109325E-3</v>
      </c>
      <c r="W53" s="359">
        <f t="shared" si="5"/>
        <v>1.5058422101586668</v>
      </c>
    </row>
    <row r="54" spans="1:23" s="355" customFormat="1">
      <c r="A54" s="404" t="s">
        <v>617</v>
      </c>
      <c r="B54" s="460">
        <v>1133819101</v>
      </c>
      <c r="C54" s="470" t="s">
        <v>505</v>
      </c>
      <c r="D54" s="470" t="s">
        <v>560</v>
      </c>
      <c r="E54" s="366" t="s">
        <v>477</v>
      </c>
      <c r="F54" s="366" t="s">
        <v>422</v>
      </c>
      <c r="G54" s="366" t="s">
        <v>486</v>
      </c>
      <c r="H54" s="366" t="s">
        <v>62</v>
      </c>
      <c r="I54" s="367"/>
      <c r="J54" s="371">
        <f>'NG Elec KWH Annual'!$O32</f>
        <v>5363</v>
      </c>
      <c r="K54" s="409">
        <f>'NG Elec Cost Annual'!$O32</f>
        <v>590.32000000000005</v>
      </c>
      <c r="L54" s="409">
        <f t="shared" si="2"/>
        <v>0.1100727204922618</v>
      </c>
      <c r="M54" s="356">
        <f>'NG Nat. Gas Therms Annual'!$O32</f>
        <v>0</v>
      </c>
      <c r="N54" s="410">
        <f>'NG Nat. Gas Cost Annual'!$O32</f>
        <v>0</v>
      </c>
      <c r="O54" s="410"/>
      <c r="P54" s="357"/>
      <c r="Q54" s="358">
        <f t="shared" si="4"/>
        <v>0</v>
      </c>
      <c r="R54" s="359">
        <f>M54*0.005*0.001*Reference!$I$12</f>
        <v>0</v>
      </c>
      <c r="S54" s="360">
        <f>M54*0.0001*0.001*Reference!$I$13</f>
        <v>0</v>
      </c>
      <c r="T54" s="358">
        <f>(J54*Reference!$F$11/1000)/2204.62</f>
        <v>1.5203867333145848</v>
      </c>
      <c r="U54" s="359">
        <f>(J54/1000*Reference!$F$12)/2204.62*Reference!$I$12</f>
        <v>1.2679295570211645E-3</v>
      </c>
      <c r="V54" s="359">
        <f>(J54/1000*Reference!$F$13)/2204.62*Reference!$I$13</f>
        <v>8.4385112627119434E-3</v>
      </c>
      <c r="W54" s="359">
        <f t="shared" si="5"/>
        <v>1.530093174134318</v>
      </c>
    </row>
    <row r="55" spans="1:23" s="355" customFormat="1" ht="15" customHeight="1">
      <c r="A55" s="404" t="s">
        <v>617</v>
      </c>
      <c r="B55" s="460">
        <v>1653819107</v>
      </c>
      <c r="C55" s="470" t="s">
        <v>505</v>
      </c>
      <c r="D55" s="470" t="s">
        <v>560</v>
      </c>
      <c r="E55" s="366" t="s">
        <v>477</v>
      </c>
      <c r="F55" s="366" t="s">
        <v>422</v>
      </c>
      <c r="G55" s="366" t="s">
        <v>486</v>
      </c>
      <c r="H55" s="366" t="s">
        <v>67</v>
      </c>
      <c r="I55" s="367"/>
      <c r="J55" s="371">
        <f>'NG Elec KWH Annual'!$O37</f>
        <v>10301</v>
      </c>
      <c r="K55" s="409">
        <f>'NG Elec Cost Annual'!$O37</f>
        <v>905.85</v>
      </c>
      <c r="L55" s="409">
        <f t="shared" si="2"/>
        <v>8.7938064265605284E-2</v>
      </c>
      <c r="M55" s="356">
        <f>'NG Nat. Gas Therms Annual'!$O37</f>
        <v>0</v>
      </c>
      <c r="N55" s="410">
        <f>'NG Nat. Gas Cost Annual'!$O37</f>
        <v>0</v>
      </c>
      <c r="O55" s="410"/>
      <c r="P55" s="357"/>
      <c r="Q55" s="358">
        <f t="shared" si="4"/>
        <v>0</v>
      </c>
      <c r="R55" s="359">
        <f>M55*0.005*0.001*Reference!$I$12</f>
        <v>0</v>
      </c>
      <c r="S55" s="360">
        <f>M55*0.0001*0.001*Reference!$I$13</f>
        <v>0</v>
      </c>
      <c r="T55" s="358">
        <f>(J55*Reference!$F$11/1000)/2204.62</f>
        <v>2.920287850060328</v>
      </c>
      <c r="U55" s="359">
        <f>(J55/1000*Reference!$F$12)/2204.62*Reference!$I$12</f>
        <v>2.4353798931335104E-3</v>
      </c>
      <c r="V55" s="359">
        <f>(J55/1000*Reference!$F$13)/2204.62*Reference!$I$13</f>
        <v>1.6208298436918837E-2</v>
      </c>
      <c r="W55" s="359">
        <f t="shared" si="5"/>
        <v>2.9389315283903805</v>
      </c>
    </row>
    <row r="56" spans="1:23" s="355" customFormat="1">
      <c r="A56" s="404" t="s">
        <v>617</v>
      </c>
      <c r="B56" s="460">
        <v>1833820108</v>
      </c>
      <c r="C56" s="470" t="s">
        <v>505</v>
      </c>
      <c r="D56" s="470" t="s">
        <v>560</v>
      </c>
      <c r="E56" s="366" t="s">
        <v>477</v>
      </c>
      <c r="F56" s="366" t="s">
        <v>422</v>
      </c>
      <c r="G56" s="366" t="s">
        <v>486</v>
      </c>
      <c r="H56" s="366" t="s">
        <v>68</v>
      </c>
      <c r="I56" s="367" t="s">
        <v>24</v>
      </c>
      <c r="J56" s="371">
        <f>'NG Elec KWH Annual'!$O38</f>
        <v>10505</v>
      </c>
      <c r="K56" s="409">
        <f>'NG Elec Cost Annual'!$O38</f>
        <v>919.12</v>
      </c>
      <c r="L56" s="409">
        <f t="shared" si="2"/>
        <v>8.7493574488338888E-2</v>
      </c>
      <c r="M56" s="356">
        <f>'NG Nat. Gas Therms Annual'!$O38</f>
        <v>0</v>
      </c>
      <c r="N56" s="410">
        <f>'NG Nat. Gas Cost Annual'!$O38</f>
        <v>0</v>
      </c>
      <c r="O56" s="410"/>
      <c r="P56" s="357"/>
      <c r="Q56" s="358">
        <f t="shared" si="4"/>
        <v>0</v>
      </c>
      <c r="R56" s="359">
        <f>M56*0.005*0.001*Reference!$I$12</f>
        <v>0</v>
      </c>
      <c r="S56" s="360">
        <f>M56*0.0001*0.001*Reference!$I$13</f>
        <v>0</v>
      </c>
      <c r="T56" s="358">
        <f>(J56*Reference!$F$11/1000)/2204.62</f>
        <v>2.9781209460133722</v>
      </c>
      <c r="U56" s="359">
        <f>(J56/1000*Reference!$F$12)/2204.62*Reference!$I$12</f>
        <v>2.4836099191697437E-3</v>
      </c>
      <c r="V56" s="359">
        <f>(J56/1000*Reference!$F$13)/2204.62*Reference!$I$13</f>
        <v>1.6529285999401261E-2</v>
      </c>
      <c r="W56" s="359">
        <f t="shared" si="5"/>
        <v>2.9971338419319431</v>
      </c>
    </row>
    <row r="57" spans="1:23" s="355" customFormat="1">
      <c r="A57" s="404" t="s">
        <v>617</v>
      </c>
      <c r="B57" s="460">
        <v>2856106004</v>
      </c>
      <c r="C57" s="470" t="s">
        <v>496</v>
      </c>
      <c r="D57" s="470" t="s">
        <v>532</v>
      </c>
      <c r="E57" s="366" t="s">
        <v>478</v>
      </c>
      <c r="F57" s="366" t="s">
        <v>2</v>
      </c>
      <c r="G57" s="366" t="s">
        <v>486</v>
      </c>
      <c r="H57" s="366" t="s">
        <v>27</v>
      </c>
      <c r="I57" s="367" t="s">
        <v>568</v>
      </c>
      <c r="J57" s="371">
        <f>'NG Elec KWH Annual'!$O50</f>
        <v>0</v>
      </c>
      <c r="K57" s="409">
        <f>'NG Elec Cost Annual'!$O50</f>
        <v>0</v>
      </c>
      <c r="L57" s="409"/>
      <c r="M57" s="356">
        <f>'NG Nat. Gas Therms Annual'!$O50</f>
        <v>163</v>
      </c>
      <c r="N57" s="410">
        <f>'NG Nat. Gas Cost Annual'!$O50</f>
        <v>332.37000000000006</v>
      </c>
      <c r="O57" s="410">
        <f>N57/M57</f>
        <v>2.0390797546012274</v>
      </c>
      <c r="P57" s="357"/>
      <c r="Q57" s="358">
        <f t="shared" si="4"/>
        <v>0.86422600000000016</v>
      </c>
      <c r="R57" s="359">
        <f>M57*0.005*0.001*Reference!$I$12</f>
        <v>1.7115000000000002E-2</v>
      </c>
      <c r="S57" s="360">
        <f>M57*0.0001*0.001*Reference!$I$13</f>
        <v>5.0530000000000011E-3</v>
      </c>
      <c r="T57" s="358">
        <f>(J57*Reference!$F$11/1000)/2204.62</f>
        <v>0</v>
      </c>
      <c r="U57" s="359">
        <f>(J57/1000*Reference!$F$12)/2204.62*Reference!$I$12</f>
        <v>0</v>
      </c>
      <c r="V57" s="359">
        <f>(J57/1000*Reference!$F$13)/2204.62*Reference!$I$13</f>
        <v>0</v>
      </c>
      <c r="W57" s="359">
        <f t="shared" si="5"/>
        <v>0.88639400000000013</v>
      </c>
    </row>
    <row r="58" spans="1:23" s="355" customFormat="1">
      <c r="A58" s="404" t="s">
        <v>617</v>
      </c>
      <c r="B58" s="460">
        <v>9753820119</v>
      </c>
      <c r="C58" s="470" t="s">
        <v>503</v>
      </c>
      <c r="D58" s="470" t="s">
        <v>532</v>
      </c>
      <c r="E58" s="366" t="s">
        <v>478</v>
      </c>
      <c r="F58" s="366" t="s">
        <v>2</v>
      </c>
      <c r="G58" s="366" t="s">
        <v>486</v>
      </c>
      <c r="H58" s="366" t="s">
        <v>49</v>
      </c>
      <c r="I58" s="367" t="s">
        <v>563</v>
      </c>
      <c r="J58" s="371">
        <f>'NG Elec KWH Annual'!$O95</f>
        <v>480</v>
      </c>
      <c r="K58" s="409">
        <f>'NG Elec Cost Annual'!$O95</f>
        <v>279.14</v>
      </c>
      <c r="L58" s="409">
        <f t="shared" si="2"/>
        <v>0.58154166666666662</v>
      </c>
      <c r="M58" s="356">
        <f>'NG Nat. Gas Therms Annual'!$O95</f>
        <v>0</v>
      </c>
      <c r="N58" s="410">
        <f>'NG Nat. Gas Cost Annual'!$O95</f>
        <v>0</v>
      </c>
      <c r="O58" s="410"/>
      <c r="P58" s="357"/>
      <c r="Q58" s="358">
        <f t="shared" si="4"/>
        <v>0</v>
      </c>
      <c r="R58" s="359">
        <f>M58*0.005*0.001*Reference!$I$12</f>
        <v>0</v>
      </c>
      <c r="S58" s="360">
        <f>M58*0.0001*0.001*Reference!$I$13</f>
        <v>0</v>
      </c>
      <c r="T58" s="358">
        <f>(J58*Reference!$F$11/1000)/2204.62</f>
        <v>0.13607787283069192</v>
      </c>
      <c r="U58" s="359">
        <f>(J58/1000*Reference!$F$12)/2204.62*Reference!$I$12</f>
        <v>1.1348241420290118E-4</v>
      </c>
      <c r="V58" s="359">
        <f>(J58/1000*Reference!$F$13)/2204.62*Reference!$I$13</f>
        <v>7.5526485289981941E-4</v>
      </c>
      <c r="W58" s="359">
        <f t="shared" si="5"/>
        <v>0.13694662009779462</v>
      </c>
    </row>
    <row r="59" spans="1:23" s="355" customFormat="1">
      <c r="A59" s="404" t="s">
        <v>617</v>
      </c>
      <c r="B59" s="460">
        <v>893816110</v>
      </c>
      <c r="C59" s="470" t="s">
        <v>503</v>
      </c>
      <c r="D59" s="470" t="s">
        <v>532</v>
      </c>
      <c r="E59" s="366" t="s">
        <v>478</v>
      </c>
      <c r="F59" s="366" t="s">
        <v>2</v>
      </c>
      <c r="G59" s="366" t="s">
        <v>486</v>
      </c>
      <c r="H59" s="366" t="s">
        <v>569</v>
      </c>
      <c r="I59" s="367" t="s">
        <v>563</v>
      </c>
      <c r="J59" s="371">
        <f>'NG Elec KWH Annual'!$O25</f>
        <v>1246</v>
      </c>
      <c r="K59" s="409">
        <f>'NG Elec Cost Annual'!$O25</f>
        <v>333.51</v>
      </c>
      <c r="L59" s="409">
        <f t="shared" si="2"/>
        <v>0.2676645264847512</v>
      </c>
      <c r="M59" s="356">
        <f>'NG Nat. Gas Therms Annual'!$O25</f>
        <v>0</v>
      </c>
      <c r="N59" s="410">
        <f>'NG Nat. Gas Cost Annual'!$O25</f>
        <v>0</v>
      </c>
      <c r="O59" s="410"/>
      <c r="P59" s="357"/>
      <c r="Q59" s="358">
        <f t="shared" si="4"/>
        <v>0</v>
      </c>
      <c r="R59" s="359">
        <f>M59*0.005*0.001*Reference!$I$12</f>
        <v>0</v>
      </c>
      <c r="S59" s="360">
        <f>M59*0.0001*0.001*Reference!$I$13</f>
        <v>0</v>
      </c>
      <c r="T59" s="358">
        <f>(J59*Reference!$F$11/1000)/2204.62</f>
        <v>0.35323547822300444</v>
      </c>
      <c r="U59" s="359">
        <f>(J59/1000*Reference!$F$12)/2204.62*Reference!$I$12</f>
        <v>2.9458143353503093E-4</v>
      </c>
      <c r="V59" s="359">
        <f>(J59/1000*Reference!$F$13)/2204.62*Reference!$I$13</f>
        <v>1.9605416806524481E-3</v>
      </c>
      <c r="W59" s="359">
        <f t="shared" si="5"/>
        <v>0.35549060133719196</v>
      </c>
    </row>
    <row r="60" spans="1:23" s="355" customFormat="1">
      <c r="A60" s="404" t="s">
        <v>617</v>
      </c>
      <c r="B60" s="460">
        <v>1513818115</v>
      </c>
      <c r="C60" s="470" t="s">
        <v>503</v>
      </c>
      <c r="D60" s="470" t="s">
        <v>532</v>
      </c>
      <c r="E60" s="366" t="s">
        <v>478</v>
      </c>
      <c r="F60" s="366" t="s">
        <v>2</v>
      </c>
      <c r="G60" s="366" t="s">
        <v>486</v>
      </c>
      <c r="H60" s="366" t="s">
        <v>65</v>
      </c>
      <c r="I60" s="367" t="s">
        <v>563</v>
      </c>
      <c r="J60" s="371">
        <f>'NG Elec KWH Annual'!$O35</f>
        <v>2024</v>
      </c>
      <c r="K60" s="409">
        <f>'NG Elec Cost Annual'!$O35</f>
        <v>379.12</v>
      </c>
      <c r="L60" s="409">
        <f t="shared" si="2"/>
        <v>0.18731225296442688</v>
      </c>
      <c r="M60" s="356">
        <f>'NG Nat. Gas Therms Annual'!$O35</f>
        <v>0</v>
      </c>
      <c r="N60" s="410">
        <f>'NG Nat. Gas Cost Annual'!$O35</f>
        <v>0</v>
      </c>
      <c r="O60" s="410"/>
      <c r="P60" s="357"/>
      <c r="Q60" s="358">
        <f t="shared" si="4"/>
        <v>0</v>
      </c>
      <c r="R60" s="359">
        <f>M60*0.005*0.001*Reference!$I$12</f>
        <v>0</v>
      </c>
      <c r="S60" s="360">
        <f>M60*0.0001*0.001*Reference!$I$13</f>
        <v>0</v>
      </c>
      <c r="T60" s="358">
        <f>(J60*Reference!$F$11/1000)/2204.62</f>
        <v>0.57379503043608426</v>
      </c>
      <c r="U60" s="359">
        <f>(J60/1000*Reference!$F$12)/2204.62*Reference!$I$12</f>
        <v>4.7851751322223335E-4</v>
      </c>
      <c r="V60" s="359">
        <f>(J60/1000*Reference!$F$13)/2204.62*Reference!$I$13</f>
        <v>3.1847001297275728E-3</v>
      </c>
      <c r="W60" s="359">
        <f t="shared" si="5"/>
        <v>0.57745824807903412</v>
      </c>
    </row>
    <row r="61" spans="1:23" s="355" customFormat="1">
      <c r="A61" s="404" t="s">
        <v>617</v>
      </c>
      <c r="B61" s="460">
        <v>948810124</v>
      </c>
      <c r="C61" s="470" t="s">
        <v>496</v>
      </c>
      <c r="D61" s="470" t="s">
        <v>532</v>
      </c>
      <c r="E61" s="366" t="s">
        <v>478</v>
      </c>
      <c r="F61" s="366" t="s">
        <v>2</v>
      </c>
      <c r="G61" s="366" t="s">
        <v>486</v>
      </c>
      <c r="H61" s="366" t="s">
        <v>649</v>
      </c>
      <c r="I61" s="367" t="s">
        <v>650</v>
      </c>
      <c r="J61" s="371">
        <f>'NG Elec KWH Annual'!$O29</f>
        <v>5435</v>
      </c>
      <c r="K61" s="409">
        <f>'NG Elec Cost Annual'!$O29</f>
        <v>996.69</v>
      </c>
      <c r="L61" s="409">
        <f t="shared" si="2"/>
        <v>0.18338362465501382</v>
      </c>
      <c r="M61" s="356">
        <f>'NG Nat. Gas Therms Annual'!$O29</f>
        <v>0</v>
      </c>
      <c r="N61" s="410">
        <f>'NG Nat. Gas Cost Annual'!$O29</f>
        <v>0</v>
      </c>
      <c r="O61" s="410"/>
      <c r="P61" s="357"/>
      <c r="Q61" s="358">
        <f t="shared" si="4"/>
        <v>0</v>
      </c>
      <c r="R61" s="359">
        <f>M61*0.005*0.001*Reference!$I$12</f>
        <v>0</v>
      </c>
      <c r="S61" s="360">
        <f>M61*0.0001*0.001*Reference!$I$13</f>
        <v>0</v>
      </c>
      <c r="T61" s="358">
        <f>(J61*Reference!$F$11/1000)/2204.62</f>
        <v>1.5407984142391886</v>
      </c>
      <c r="U61" s="359">
        <f>(J61/1000*Reference!$F$12)/2204.62*Reference!$I$12</f>
        <v>1.2849519191515998E-3</v>
      </c>
      <c r="V61" s="359">
        <f>(J61/1000*Reference!$F$13)/2204.62*Reference!$I$13</f>
        <v>8.5518009906469135E-3</v>
      </c>
      <c r="W61" s="359">
        <f t="shared" si="5"/>
        <v>1.5506351671489871</v>
      </c>
    </row>
    <row r="62" spans="1:23" s="355" customFormat="1">
      <c r="A62" s="404" t="s">
        <v>617</v>
      </c>
      <c r="B62" s="460">
        <v>3448808118</v>
      </c>
      <c r="C62" s="470" t="s">
        <v>503</v>
      </c>
      <c r="D62" s="470" t="s">
        <v>532</v>
      </c>
      <c r="E62" s="366" t="s">
        <v>478</v>
      </c>
      <c r="F62" s="366" t="s">
        <v>2</v>
      </c>
      <c r="G62" s="366" t="s">
        <v>486</v>
      </c>
      <c r="H62" s="366" t="s">
        <v>442</v>
      </c>
      <c r="I62" s="367" t="s">
        <v>410</v>
      </c>
      <c r="J62" s="371">
        <f>'NG Elec KWH Annual'!$O57</f>
        <v>8072</v>
      </c>
      <c r="K62" s="409">
        <f>'NG Elec Cost Annual'!$O57</f>
        <v>775.02</v>
      </c>
      <c r="L62" s="409">
        <f t="shared" si="2"/>
        <v>9.6013379583746283E-2</v>
      </c>
      <c r="M62" s="356">
        <f>'NG Nat. Gas Therms Annual'!$O57</f>
        <v>0</v>
      </c>
      <c r="N62" s="410">
        <f>'NG Nat. Gas Cost Annual'!$O57</f>
        <v>0</v>
      </c>
      <c r="O62" s="410"/>
      <c r="P62" s="357"/>
      <c r="Q62" s="358">
        <f t="shared" si="4"/>
        <v>0</v>
      </c>
      <c r="R62" s="359">
        <f>M62*0.005*0.001*Reference!$I$12</f>
        <v>0</v>
      </c>
      <c r="S62" s="360">
        <f>M62*0.0001*0.001*Reference!$I$13</f>
        <v>0</v>
      </c>
      <c r="T62" s="358">
        <f>(J62*Reference!$F$11/1000)/2204.62</f>
        <v>2.2883762281028024</v>
      </c>
      <c r="U62" s="359">
        <f>(J62/1000*Reference!$F$12)/2204.62*Reference!$I$12</f>
        <v>1.9083959321787882E-3</v>
      </c>
      <c r="V62" s="359">
        <f>(J62/1000*Reference!$F$13)/2204.62*Reference!$I$13</f>
        <v>1.2701037276265295E-2</v>
      </c>
      <c r="W62" s="359">
        <f t="shared" si="5"/>
        <v>2.3029856613112467</v>
      </c>
    </row>
    <row r="63" spans="1:23" s="355" customFormat="1">
      <c r="A63" s="404" t="s">
        <v>617</v>
      </c>
      <c r="B63" s="460">
        <v>8714009102</v>
      </c>
      <c r="C63" s="470" t="s">
        <v>523</v>
      </c>
      <c r="D63" s="470" t="s">
        <v>532</v>
      </c>
      <c r="E63" s="366" t="s">
        <v>478</v>
      </c>
      <c r="F63" s="366" t="s">
        <v>2</v>
      </c>
      <c r="G63" s="366" t="s">
        <v>486</v>
      </c>
      <c r="H63" s="366" t="s">
        <v>44</v>
      </c>
      <c r="I63" s="367" t="s">
        <v>567</v>
      </c>
      <c r="J63" s="371">
        <f>'NG Elec KWH Annual'!$O88</f>
        <v>8197</v>
      </c>
      <c r="K63" s="409">
        <f>'NG Elec Cost Annual'!$O88</f>
        <v>787.25999999999988</v>
      </c>
      <c r="L63" s="409">
        <f t="shared" si="2"/>
        <v>9.6042454556545059E-2</v>
      </c>
      <c r="M63" s="356">
        <f>'NG Nat. Gas Therms Annual'!$O88</f>
        <v>56</v>
      </c>
      <c r="N63" s="410">
        <f>'NG Nat. Gas Cost Annual'!$O88</f>
        <v>321.15999999999997</v>
      </c>
      <c r="O63" s="410">
        <f>N63/M63</f>
        <v>5.7349999999999994</v>
      </c>
      <c r="P63" s="357"/>
      <c r="Q63" s="358">
        <f t="shared" si="4"/>
        <v>0.29691200000000006</v>
      </c>
      <c r="R63" s="359">
        <f>M63*0.005*0.001*Reference!$I$12</f>
        <v>5.8800000000000007E-3</v>
      </c>
      <c r="S63" s="360">
        <f>M63*0.0001*0.001*Reference!$I$13</f>
        <v>1.7359999999999999E-3</v>
      </c>
      <c r="T63" s="358">
        <f>(J63*Reference!$F$11/1000)/2204.62</f>
        <v>2.3238131741524617</v>
      </c>
      <c r="U63" s="359">
        <f>(J63/1000*Reference!$F$12)/2204.62*Reference!$I$12</f>
        <v>1.9379486442107933E-3</v>
      </c>
      <c r="V63" s="359">
        <f>(J63/1000*Reference!$F$13)/2204.62*Reference!$I$13</f>
        <v>1.2897720831707957E-2</v>
      </c>
      <c r="W63" s="359">
        <f t="shared" si="5"/>
        <v>2.64317684362838</v>
      </c>
    </row>
    <row r="64" spans="1:23" s="355" customFormat="1">
      <c r="A64" s="404" t="s">
        <v>617</v>
      </c>
      <c r="B64" s="460">
        <v>2133821120</v>
      </c>
      <c r="C64" s="470" t="s">
        <v>503</v>
      </c>
      <c r="D64" s="470" t="s">
        <v>532</v>
      </c>
      <c r="E64" s="366" t="s">
        <v>478</v>
      </c>
      <c r="F64" s="366" t="s">
        <v>2</v>
      </c>
      <c r="G64" s="366" t="s">
        <v>486</v>
      </c>
      <c r="H64" s="366" t="s">
        <v>70</v>
      </c>
      <c r="I64" s="367" t="s">
        <v>563</v>
      </c>
      <c r="J64" s="371">
        <f>'NG Elec KWH Annual'!$O42</f>
        <v>10129</v>
      </c>
      <c r="K64" s="409">
        <f>'NG Elec Cost Annual'!$O42</f>
        <v>943.44999999999982</v>
      </c>
      <c r="L64" s="409">
        <f t="shared" si="2"/>
        <v>9.3143449501431511E-2</v>
      </c>
      <c r="M64" s="356">
        <f>'NG Nat. Gas Therms Annual'!$O42</f>
        <v>0</v>
      </c>
      <c r="N64" s="410">
        <f>'NG Nat. Gas Cost Annual'!$O42</f>
        <v>0</v>
      </c>
      <c r="O64" s="410"/>
      <c r="P64" s="357"/>
      <c r="Q64" s="358">
        <f t="shared" si="4"/>
        <v>0</v>
      </c>
      <c r="R64" s="359">
        <f>M64*0.005*0.001*Reference!$I$12</f>
        <v>0</v>
      </c>
      <c r="S64" s="360">
        <f>M64*0.0001*0.001*Reference!$I$13</f>
        <v>0</v>
      </c>
      <c r="T64" s="358">
        <f>(J64*Reference!$F$11/1000)/2204.62</f>
        <v>2.8715266122959968</v>
      </c>
      <c r="U64" s="359">
        <f>(J64/1000*Reference!$F$12)/2204.62*Reference!$I$12</f>
        <v>2.3947153613774709E-3</v>
      </c>
      <c r="V64" s="359">
        <f>(J64/1000*Reference!$F$13)/2204.62*Reference!$I$13</f>
        <v>1.5937661864629731E-2</v>
      </c>
      <c r="W64" s="359">
        <f t="shared" si="5"/>
        <v>2.8898589895220042</v>
      </c>
    </row>
    <row r="65" spans="1:23" s="355" customFormat="1">
      <c r="A65" s="404" t="s">
        <v>617</v>
      </c>
      <c r="B65" s="460">
        <v>2533809113</v>
      </c>
      <c r="C65" s="470" t="s">
        <v>503</v>
      </c>
      <c r="D65" s="470" t="s">
        <v>532</v>
      </c>
      <c r="E65" s="366" t="s">
        <v>478</v>
      </c>
      <c r="F65" s="366" t="s">
        <v>2</v>
      </c>
      <c r="G65" s="366" t="s">
        <v>486</v>
      </c>
      <c r="H65" s="366" t="s">
        <v>440</v>
      </c>
      <c r="I65" s="367" t="s">
        <v>563</v>
      </c>
      <c r="J65" s="371">
        <f>'NG Elec KWH Annual'!$O46</f>
        <v>11899</v>
      </c>
      <c r="K65" s="409">
        <f>'NG Elec Cost Annual'!$O46</f>
        <v>1021.7000000000002</v>
      </c>
      <c r="L65" s="409">
        <f t="shared" si="2"/>
        <v>8.5864358349441144E-2</v>
      </c>
      <c r="M65" s="356">
        <f>'NG Nat. Gas Therms Annual'!$O46</f>
        <v>43</v>
      </c>
      <c r="N65" s="410">
        <f>'NG Nat. Gas Cost Annual'!$O46</f>
        <v>317.31</v>
      </c>
      <c r="O65" s="410">
        <f>N65/M65</f>
        <v>7.3793023255813956</v>
      </c>
      <c r="P65" s="357"/>
      <c r="Q65" s="358">
        <f t="shared" si="4"/>
        <v>0.22798599999999999</v>
      </c>
      <c r="R65" s="359">
        <f>M65*0.005*0.001*Reference!$I$12</f>
        <v>4.5149999999999999E-3</v>
      </c>
      <c r="S65" s="360">
        <f>M65*0.0001*0.001*Reference!$I$13</f>
        <v>1.3330000000000002E-3</v>
      </c>
      <c r="T65" s="358">
        <f>(J65*Reference!$F$11/1000)/2204.62</f>
        <v>3.3733137683591732</v>
      </c>
      <c r="U65" s="359">
        <f>(J65/1000*Reference!$F$12)/2204.62*Reference!$I$12</f>
        <v>2.8131817637506691E-3</v>
      </c>
      <c r="V65" s="359">
        <f>(J65/1000*Reference!$F$13)/2204.62*Reference!$I$13</f>
        <v>1.872270100969782E-2</v>
      </c>
      <c r="W65" s="359">
        <f t="shared" si="5"/>
        <v>3.6286836511326213</v>
      </c>
    </row>
    <row r="66" spans="1:23" s="355" customFormat="1">
      <c r="A66" s="404" t="s">
        <v>617</v>
      </c>
      <c r="B66" s="460">
        <v>4308810115</v>
      </c>
      <c r="C66" s="470" t="s">
        <v>503</v>
      </c>
      <c r="D66" s="470" t="s">
        <v>532</v>
      </c>
      <c r="E66" s="366" t="s">
        <v>478</v>
      </c>
      <c r="F66" s="366" t="s">
        <v>2</v>
      </c>
      <c r="G66" s="366" t="s">
        <v>486</v>
      </c>
      <c r="H66" s="366" t="s">
        <v>34</v>
      </c>
      <c r="I66" s="367" t="s">
        <v>410</v>
      </c>
      <c r="J66" s="371">
        <f>'NG Elec KWH Annual'!$O64</f>
        <v>12836</v>
      </c>
      <c r="K66" s="409">
        <f>'NG Elec Cost Annual'!$O64</f>
        <v>1081.8799999999999</v>
      </c>
      <c r="L66" s="409">
        <f t="shared" si="2"/>
        <v>8.4284823932689296E-2</v>
      </c>
      <c r="M66" s="356">
        <f>'NG Nat. Gas Therms Annual'!$O64</f>
        <v>0</v>
      </c>
      <c r="N66" s="410">
        <f>'NG Nat. Gas Cost Annual'!$O64</f>
        <v>0</v>
      </c>
      <c r="O66" s="410"/>
      <c r="P66" s="357"/>
      <c r="Q66" s="358">
        <f t="shared" si="4"/>
        <v>0</v>
      </c>
      <c r="R66" s="359">
        <f>M66*0.005*0.001*Reference!$I$12</f>
        <v>0</v>
      </c>
      <c r="S66" s="360">
        <f>M66*0.0001*0.001*Reference!$I$13</f>
        <v>0</v>
      </c>
      <c r="T66" s="358">
        <f>(J66*Reference!$F$11/1000)/2204.62</f>
        <v>3.6389491159474199</v>
      </c>
      <c r="U66" s="359">
        <f>(J66/1000*Reference!$F$12)/2204.62*Reference!$I$12</f>
        <v>3.0347088931425821E-3</v>
      </c>
      <c r="V66" s="359">
        <f>(J66/1000*Reference!$F$13)/2204.62*Reference!$I$13</f>
        <v>2.0197040941296009E-2</v>
      </c>
      <c r="W66" s="359">
        <f t="shared" si="5"/>
        <v>3.6621808657818584</v>
      </c>
    </row>
    <row r="67" spans="1:23" s="355" customFormat="1">
      <c r="A67" s="404" t="s">
        <v>617</v>
      </c>
      <c r="B67" s="460">
        <v>3273812135</v>
      </c>
      <c r="C67" s="470" t="s">
        <v>518</v>
      </c>
      <c r="D67" s="470" t="s">
        <v>532</v>
      </c>
      <c r="E67" s="366" t="s">
        <v>478</v>
      </c>
      <c r="F67" s="366" t="s">
        <v>2</v>
      </c>
      <c r="G67" s="366" t="s">
        <v>486</v>
      </c>
      <c r="H67" s="366" t="s">
        <v>441</v>
      </c>
      <c r="I67" s="367" t="s">
        <v>564</v>
      </c>
      <c r="J67" s="371">
        <f>'NG Elec KWH Annual'!$O55</f>
        <v>14287</v>
      </c>
      <c r="K67" s="409">
        <f>'NG Elec Cost Annual'!$O55</f>
        <v>1194.5899999999999</v>
      </c>
      <c r="L67" s="409">
        <f t="shared" si="2"/>
        <v>8.361377476027157E-2</v>
      </c>
      <c r="M67" s="356">
        <f>'NG Nat. Gas Therms Annual'!$O55</f>
        <v>41</v>
      </c>
      <c r="N67" s="410">
        <f>'NG Nat. Gas Cost Annual'!$O55</f>
        <v>312</v>
      </c>
      <c r="O67" s="410">
        <f>N67/M67</f>
        <v>7.6097560975609753</v>
      </c>
      <c r="P67" s="357"/>
      <c r="Q67" s="358">
        <f t="shared" si="4"/>
        <v>0.21738200000000005</v>
      </c>
      <c r="R67" s="359">
        <f>M67*0.005*0.001*Reference!$I$12</f>
        <v>4.3050000000000007E-3</v>
      </c>
      <c r="S67" s="360">
        <f>M67*0.0001*0.001*Reference!$I$13</f>
        <v>1.2710000000000002E-3</v>
      </c>
      <c r="T67" s="358">
        <f>(J67*Reference!$F$11/1000)/2204.62</f>
        <v>4.0503011856918656</v>
      </c>
      <c r="U67" s="359">
        <f>(J67/1000*Reference!$F$12)/2204.62*Reference!$I$12</f>
        <v>3.377756774410102E-3</v>
      </c>
      <c r="V67" s="359">
        <f>(J67/1000*Reference!$F$13)/2204.62*Reference!$I$13</f>
        <v>2.2480143652874419E-2</v>
      </c>
      <c r="W67" s="359">
        <f t="shared" si="5"/>
        <v>4.2991170861191499</v>
      </c>
    </row>
    <row r="68" spans="1:23" s="355" customFormat="1">
      <c r="A68" s="404" t="s">
        <v>617</v>
      </c>
      <c r="B68" s="460">
        <v>4794009102</v>
      </c>
      <c r="C68" s="470" t="s">
        <v>523</v>
      </c>
      <c r="D68" s="470" t="s">
        <v>532</v>
      </c>
      <c r="E68" s="366" t="s">
        <v>478</v>
      </c>
      <c r="F68" s="366" t="s">
        <v>2</v>
      </c>
      <c r="G68" s="366" t="s">
        <v>486</v>
      </c>
      <c r="H68" s="366" t="s">
        <v>37</v>
      </c>
      <c r="I68" s="367" t="s">
        <v>566</v>
      </c>
      <c r="J68" s="371">
        <f>'NG Elec KWH Annual'!$O70</f>
        <v>16011</v>
      </c>
      <c r="K68" s="409">
        <f>'NG Elec Cost Annual'!$O70</f>
        <v>2497.4000000000005</v>
      </c>
      <c r="L68" s="409">
        <f t="shared" si="2"/>
        <v>0.15598026356879649</v>
      </c>
      <c r="M68" s="356">
        <f>'NG Nat. Gas Therms Annual'!$O70</f>
        <v>63</v>
      </c>
      <c r="N68" s="410">
        <f>'NG Nat. Gas Cost Annual'!$O70</f>
        <v>326.88</v>
      </c>
      <c r="O68" s="410">
        <f>N68/M68</f>
        <v>5.1885714285714286</v>
      </c>
      <c r="P68" s="357"/>
      <c r="Q68" s="358">
        <f t="shared" si="4"/>
        <v>0.3340260000000001</v>
      </c>
      <c r="R68" s="359">
        <f>M68*0.005*0.001*Reference!$I$12</f>
        <v>6.6150000000000002E-3</v>
      </c>
      <c r="S68" s="360">
        <f>M68*0.0001*0.001*Reference!$I$13</f>
        <v>1.9529999999999999E-3</v>
      </c>
      <c r="T68" s="358">
        <f>(J68*Reference!$F$11/1000)/2204.62</f>
        <v>4.5390475456087671</v>
      </c>
      <c r="U68" s="359">
        <f>(J68/1000*Reference!$F$12)/2204.62*Reference!$I$12</f>
        <v>3.785347778755522E-3</v>
      </c>
      <c r="V68" s="359">
        <f>(J68/1000*Reference!$F$13)/2204.62*Reference!$I$13</f>
        <v>2.5192803249539604E-2</v>
      </c>
      <c r="W68" s="359">
        <f t="shared" si="5"/>
        <v>4.9106196966370623</v>
      </c>
    </row>
    <row r="69" spans="1:23" s="355" customFormat="1">
      <c r="A69" s="404" t="s">
        <v>617</v>
      </c>
      <c r="B69" s="372">
        <v>6368810106</v>
      </c>
      <c r="C69" s="470" t="s">
        <v>501</v>
      </c>
      <c r="D69" s="470" t="s">
        <v>578</v>
      </c>
      <c r="E69" s="366" t="s">
        <v>478</v>
      </c>
      <c r="F69" s="366" t="s">
        <v>2</v>
      </c>
      <c r="G69" s="366" t="s">
        <v>486</v>
      </c>
      <c r="H69" s="366" t="s">
        <v>570</v>
      </c>
      <c r="I69" s="367"/>
      <c r="J69" s="371">
        <f>'NG Elec KWH Annual'!$O83</f>
        <v>16551</v>
      </c>
      <c r="K69" s="409">
        <f>'NG Elec Cost Annual'!$O83</f>
        <v>1515.63</v>
      </c>
      <c r="L69" s="409">
        <f t="shared" si="2"/>
        <v>9.1573318832698938E-2</v>
      </c>
      <c r="M69" s="356">
        <f>'NG Nat. Gas Therms Annual'!$O83</f>
        <v>0</v>
      </c>
      <c r="N69" s="410">
        <f>'NG Nat. Gas Cost Annual'!$O83</f>
        <v>0</v>
      </c>
      <c r="O69" s="410"/>
      <c r="P69" s="357"/>
      <c r="Q69" s="358">
        <f t="shared" si="4"/>
        <v>0</v>
      </c>
      <c r="R69" s="359">
        <f>M69*0.005*0.001*Reference!$I$12</f>
        <v>0</v>
      </c>
      <c r="S69" s="360">
        <f>M69*0.0001*0.001*Reference!$I$13</f>
        <v>0</v>
      </c>
      <c r="T69" s="358">
        <f>(J69*Reference!$F$11/1000)/2204.62</f>
        <v>4.6921351525432957</v>
      </c>
      <c r="U69" s="359">
        <f>(J69/1000*Reference!$F$12)/2204.62*Reference!$I$12</f>
        <v>3.9130154947337858E-3</v>
      </c>
      <c r="V69" s="359">
        <f>(J69/1000*Reference!$F$13)/2204.62*Reference!$I$13</f>
        <v>2.6042476209051899E-2</v>
      </c>
      <c r="W69" s="359">
        <f t="shared" si="5"/>
        <v>4.722090644247082</v>
      </c>
    </row>
    <row r="70" spans="1:23" s="355" customFormat="1">
      <c r="A70" s="404" t="s">
        <v>617</v>
      </c>
      <c r="B70" s="460">
        <v>208811116</v>
      </c>
      <c r="C70" s="470" t="s">
        <v>496</v>
      </c>
      <c r="D70" s="470" t="s">
        <v>532</v>
      </c>
      <c r="E70" s="366" t="s">
        <v>478</v>
      </c>
      <c r="F70" s="366" t="s">
        <v>2</v>
      </c>
      <c r="G70" s="366" t="s">
        <v>486</v>
      </c>
      <c r="H70" s="366" t="s">
        <v>56</v>
      </c>
      <c r="I70" s="367" t="s">
        <v>568</v>
      </c>
      <c r="J70" s="371">
        <f>'NG Elec KWH Annual'!$O17</f>
        <v>22246</v>
      </c>
      <c r="K70" s="409">
        <f>'NG Elec Cost Annual'!$O17</f>
        <v>1898.3200000000002</v>
      </c>
      <c r="L70" s="409">
        <f t="shared" si="2"/>
        <v>8.5333093589858855E-2</v>
      </c>
      <c r="M70" s="356">
        <f>'NG Nat. Gas Therms Annual'!$O17</f>
        <v>0</v>
      </c>
      <c r="N70" s="410">
        <f>'NG Nat. Gas Cost Annual'!$O17</f>
        <v>0</v>
      </c>
      <c r="O70" s="410"/>
      <c r="P70" s="357"/>
      <c r="Q70" s="358">
        <f t="shared" si="4"/>
        <v>0</v>
      </c>
      <c r="R70" s="359">
        <f>M70*0.005*0.001*Reference!$I$12</f>
        <v>0</v>
      </c>
      <c r="S70" s="360">
        <f>M70*0.0001*0.001*Reference!$I$13</f>
        <v>0</v>
      </c>
      <c r="T70" s="358">
        <f>(J70*Reference!$F$11/1000)/2204.62</f>
        <v>6.3066424145657756</v>
      </c>
      <c r="U70" s="359">
        <f>(J70/1000*Reference!$F$12)/2204.62*Reference!$I$12</f>
        <v>5.2594370549119574E-3</v>
      </c>
      <c r="V70" s="359">
        <f>(J70/1000*Reference!$F$13)/2204.62*Reference!$I$13</f>
        <v>3.5003378995019548E-2</v>
      </c>
      <c r="W70" s="359">
        <f t="shared" si="5"/>
        <v>6.3469052306157074</v>
      </c>
    </row>
    <row r="71" spans="1:23" s="355" customFormat="1">
      <c r="A71" s="404" t="s">
        <v>617</v>
      </c>
      <c r="B71" s="460">
        <v>5913814119</v>
      </c>
      <c r="C71" s="470" t="s">
        <v>503</v>
      </c>
      <c r="D71" s="470" t="s">
        <v>532</v>
      </c>
      <c r="E71" s="366" t="s">
        <v>478</v>
      </c>
      <c r="F71" s="366" t="s">
        <v>2</v>
      </c>
      <c r="G71" s="366" t="s">
        <v>486</v>
      </c>
      <c r="H71" s="366" t="s">
        <v>42</v>
      </c>
      <c r="I71" s="367" t="s">
        <v>563</v>
      </c>
      <c r="J71" s="458">
        <f>'NG Elec KWH Annual'!$O79</f>
        <v>34912</v>
      </c>
      <c r="K71" s="459">
        <f>'NG Elec Cost Annual'!$O79</f>
        <v>2729.85</v>
      </c>
      <c r="L71" s="409">
        <f t="shared" si="2"/>
        <v>7.8192312098991745E-2</v>
      </c>
      <c r="M71" s="356">
        <f>'NG Nat. Gas Therms Annual'!$O79</f>
        <v>0</v>
      </c>
      <c r="N71" s="410">
        <f>'NG Nat. Gas Cost Annual'!$O79</f>
        <v>0</v>
      </c>
      <c r="O71" s="410"/>
      <c r="P71" s="357"/>
      <c r="Q71" s="358">
        <f t="shared" si="4"/>
        <v>0</v>
      </c>
      <c r="R71" s="359">
        <f>M71*0.005*0.001*Reference!$I$12</f>
        <v>0</v>
      </c>
      <c r="S71" s="360">
        <f>M71*0.0001*0.001*Reference!$I$13</f>
        <v>0</v>
      </c>
      <c r="T71" s="358">
        <f>(J71*Reference!$F$11/1000)/2204.62</f>
        <v>9.8973972838856596</v>
      </c>
      <c r="U71" s="359">
        <f>(J71/1000*Reference!$F$12)/2204.62*Reference!$I$12</f>
        <v>8.2539542596910126E-3</v>
      </c>
      <c r="V71" s="359">
        <f>(J71/1000*Reference!$F$13)/2204.62*Reference!$I$13</f>
        <v>5.4932930300913535E-2</v>
      </c>
      <c r="W71" s="359">
        <f t="shared" si="5"/>
        <v>9.9605841684462639</v>
      </c>
    </row>
    <row r="72" spans="1:23" s="355" customFormat="1">
      <c r="A72" s="404" t="s">
        <v>617</v>
      </c>
      <c r="B72" s="372">
        <v>308809118</v>
      </c>
      <c r="C72" s="470" t="s">
        <v>499</v>
      </c>
      <c r="D72" s="470" t="s">
        <v>580</v>
      </c>
      <c r="E72" s="366" t="s">
        <v>479</v>
      </c>
      <c r="F72" s="366" t="s">
        <v>493</v>
      </c>
      <c r="G72" s="366" t="s">
        <v>374</v>
      </c>
      <c r="H72" s="366" t="s">
        <v>447</v>
      </c>
      <c r="I72" s="367" t="s">
        <v>533</v>
      </c>
      <c r="J72" s="458">
        <f>'NG Elec KWH Annual'!$O21</f>
        <v>6679</v>
      </c>
      <c r="K72" s="459">
        <f>'NG Elec Cost Annual'!$O21</f>
        <v>561.9</v>
      </c>
      <c r="L72" s="409">
        <f t="shared" si="2"/>
        <v>8.4129360682736937E-2</v>
      </c>
      <c r="M72" s="356">
        <f>'NG Nat. Gas Therms Annual'!$O21</f>
        <v>3225</v>
      </c>
      <c r="N72" s="410">
        <f>'NG Nat. Gas Cost Annual'!$O21</f>
        <v>2461.02</v>
      </c>
      <c r="O72" s="410">
        <f>N72/M72</f>
        <v>0.76310697674418604</v>
      </c>
      <c r="P72" s="357"/>
      <c r="Q72" s="358">
        <f t="shared" si="4"/>
        <v>17.098950000000002</v>
      </c>
      <c r="R72" s="359">
        <f>M72*0.005*0.001*Reference!$I$12</f>
        <v>0.33862500000000001</v>
      </c>
      <c r="S72" s="360">
        <f>M72*0.0001*0.001*Reference!$I$13</f>
        <v>9.9975000000000008E-2</v>
      </c>
      <c r="T72" s="358">
        <f>(J72*Reference!$F$11/1000)/2204.62</f>
        <v>1.8934669013253986</v>
      </c>
      <c r="U72" s="359">
        <f>(J72/1000*Reference!$F$12)/2204.62*Reference!$I$12</f>
        <v>1.5790605092941188E-3</v>
      </c>
      <c r="V72" s="359">
        <f>(J72/1000*Reference!$F$13)/2204.62*Reference!$I$13</f>
        <v>1.0509195734412282E-2</v>
      </c>
      <c r="W72" s="359">
        <f t="shared" si="5"/>
        <v>19.443105157569107</v>
      </c>
    </row>
    <row r="73" spans="1:23" s="355" customFormat="1">
      <c r="A73" s="404" t="s">
        <v>617</v>
      </c>
      <c r="B73" s="460">
        <v>1028809119</v>
      </c>
      <c r="C73" s="470" t="s">
        <v>504</v>
      </c>
      <c r="D73" s="470" t="s">
        <v>580</v>
      </c>
      <c r="E73" s="366" t="s">
        <v>479</v>
      </c>
      <c r="F73" s="366" t="s">
        <v>493</v>
      </c>
      <c r="G73" s="366" t="s">
        <v>571</v>
      </c>
      <c r="H73" s="366" t="s">
        <v>61</v>
      </c>
      <c r="I73" s="367" t="s">
        <v>699</v>
      </c>
      <c r="J73" s="458">
        <f>'NG Elec KWH Annual'!$O30</f>
        <v>0</v>
      </c>
      <c r="K73" s="459">
        <f>'NG Elec Cost Annual'!$O30</f>
        <v>248.64000000000004</v>
      </c>
      <c r="L73" s="409" t="e">
        <f t="shared" si="2"/>
        <v>#DIV/0!</v>
      </c>
      <c r="M73" s="356">
        <f>'NG Nat. Gas Therms Annual'!$O30</f>
        <v>0</v>
      </c>
      <c r="N73" s="410">
        <f>'NG Nat. Gas Cost Annual'!$O30</f>
        <v>0</v>
      </c>
      <c r="O73" s="410"/>
      <c r="P73" s="357"/>
      <c r="Q73" s="358">
        <f t="shared" si="4"/>
        <v>0</v>
      </c>
      <c r="R73" s="359">
        <f>M73*0.005*0.001*Reference!$I$12</f>
        <v>0</v>
      </c>
      <c r="S73" s="360">
        <f>M73*0.0001*0.001*Reference!$I$13</f>
        <v>0</v>
      </c>
      <c r="T73" s="358">
        <f>(J73*Reference!$F$11/1000)/2204.62</f>
        <v>0</v>
      </c>
      <c r="U73" s="359">
        <f>(J73/1000*Reference!$F$12)/2204.62*Reference!$I$12</f>
        <v>0</v>
      </c>
      <c r="V73" s="359">
        <f>(J73/1000*Reference!$F$13)/2204.62*Reference!$I$13</f>
        <v>0</v>
      </c>
      <c r="W73" s="359">
        <f t="shared" si="5"/>
        <v>0</v>
      </c>
    </row>
    <row r="74" spans="1:23" s="355" customFormat="1">
      <c r="A74" s="404" t="s">
        <v>617</v>
      </c>
      <c r="B74" s="372">
        <v>852028007</v>
      </c>
      <c r="C74" s="470" t="s">
        <v>502</v>
      </c>
      <c r="D74" s="470" t="s">
        <v>583</v>
      </c>
      <c r="E74" s="366" t="s">
        <v>479</v>
      </c>
      <c r="F74" s="366" t="s">
        <v>493</v>
      </c>
      <c r="G74" s="366" t="s">
        <v>373</v>
      </c>
      <c r="H74" s="366" t="s">
        <v>448</v>
      </c>
      <c r="I74" s="367"/>
      <c r="J74" s="458">
        <f>'NG Elec KWH Annual'!$O24</f>
        <v>0</v>
      </c>
      <c r="K74" s="459">
        <f>'NG Elec Cost Annual'!$O24</f>
        <v>0</v>
      </c>
      <c r="L74" s="409"/>
      <c r="M74" s="356">
        <f>'NG Nat. Gas Therms Annual'!$O24</f>
        <v>2312</v>
      </c>
      <c r="N74" s="410">
        <f>'NG Nat. Gas Cost Annual'!$O24</f>
        <v>1025.49</v>
      </c>
      <c r="O74" s="410">
        <f t="shared" ref="O74:O77" si="6">N74/M74</f>
        <v>0.44355103806228374</v>
      </c>
      <c r="P74" s="357"/>
      <c r="Q74" s="358">
        <f t="shared" si="4"/>
        <v>12.258224000000002</v>
      </c>
      <c r="R74" s="359">
        <f>M74*0.005*0.001*Reference!$I$12</f>
        <v>0.24276000000000003</v>
      </c>
      <c r="S74" s="360">
        <f>M74*0.0001*0.001*Reference!$I$13</f>
        <v>7.1672E-2</v>
      </c>
      <c r="T74" s="358">
        <f>(J74*Reference!$F$11/1000)/2204.62</f>
        <v>0</v>
      </c>
      <c r="U74" s="359">
        <f>(J74/1000*Reference!$F$12)/2204.62*Reference!$I$12</f>
        <v>0</v>
      </c>
      <c r="V74" s="359">
        <f>(J74/1000*Reference!$F$13)/2204.62*Reference!$I$13</f>
        <v>0</v>
      </c>
      <c r="W74" s="359">
        <f t="shared" si="5"/>
        <v>12.572656000000002</v>
      </c>
    </row>
    <row r="75" spans="1:23" s="355" customFormat="1" ht="16" customHeight="1">
      <c r="A75" s="404" t="s">
        <v>617</v>
      </c>
      <c r="B75" s="372">
        <v>893819102</v>
      </c>
      <c r="C75" s="470" t="s">
        <v>502</v>
      </c>
      <c r="D75" s="470" t="s">
        <v>583</v>
      </c>
      <c r="E75" s="366" t="s">
        <v>479</v>
      </c>
      <c r="F75" s="366" t="s">
        <v>493</v>
      </c>
      <c r="G75" s="366" t="s">
        <v>373</v>
      </c>
      <c r="H75" s="366" t="s">
        <v>60</v>
      </c>
      <c r="I75" s="367"/>
      <c r="J75" s="458">
        <f>'NG Elec KWH Annual'!$O26</f>
        <v>0</v>
      </c>
      <c r="K75" s="459">
        <f>'NG Elec Cost Annual'!$O26</f>
        <v>0</v>
      </c>
      <c r="L75" s="409"/>
      <c r="M75" s="356">
        <f>'NG Nat. Gas Therms Annual'!$O26</f>
        <v>892</v>
      </c>
      <c r="N75" s="410">
        <f>'NG Nat. Gas Cost Annual'!$O26</f>
        <v>598.16999999999996</v>
      </c>
      <c r="O75" s="410">
        <f t="shared" si="6"/>
        <v>0.67059417040358738</v>
      </c>
      <c r="P75" s="357"/>
      <c r="Q75" s="358">
        <f t="shared" si="4"/>
        <v>4.7293840000000005</v>
      </c>
      <c r="R75" s="359">
        <f>M75*0.005*0.001*Reference!$I$12</f>
        <v>9.3660000000000007E-2</v>
      </c>
      <c r="S75" s="360">
        <f>M75*0.0001*0.001*Reference!$I$13</f>
        <v>2.7651999999999999E-2</v>
      </c>
      <c r="T75" s="358">
        <f>(J75*Reference!$F$11/1000)/2204.62</f>
        <v>0</v>
      </c>
      <c r="U75" s="359">
        <f>(J75/1000*Reference!$F$12)/2204.62*Reference!$I$12</f>
        <v>0</v>
      </c>
      <c r="V75" s="359">
        <f>(J75/1000*Reference!$F$13)/2204.62*Reference!$I$13</f>
        <v>0</v>
      </c>
      <c r="W75" s="359">
        <f t="shared" si="5"/>
        <v>4.8506960000000001</v>
      </c>
    </row>
    <row r="76" spans="1:23" s="355" customFormat="1">
      <c r="A76" s="404" t="s">
        <v>617</v>
      </c>
      <c r="B76" s="372">
        <v>913819100</v>
      </c>
      <c r="C76" s="470" t="s">
        <v>502</v>
      </c>
      <c r="D76" s="470" t="s">
        <v>583</v>
      </c>
      <c r="E76" s="366" t="s">
        <v>479</v>
      </c>
      <c r="F76" s="366" t="s">
        <v>493</v>
      </c>
      <c r="G76" s="366" t="s">
        <v>373</v>
      </c>
      <c r="H76" s="366" t="s">
        <v>404</v>
      </c>
      <c r="I76" s="367"/>
      <c r="J76" s="371">
        <f>'NG Elec KWH Annual'!$O27</f>
        <v>0</v>
      </c>
      <c r="K76" s="409">
        <f>'NG Elec Cost Annual'!$O27</f>
        <v>0</v>
      </c>
      <c r="L76" s="409"/>
      <c r="M76" s="356">
        <f>'NG Nat. Gas Therms Annual'!$O27</f>
        <v>1069</v>
      </c>
      <c r="N76" s="410">
        <f>'NG Nat. Gas Cost Annual'!$O27</f>
        <v>667.09</v>
      </c>
      <c r="O76" s="410">
        <f t="shared" si="6"/>
        <v>0.62403180542563141</v>
      </c>
      <c r="P76" s="357"/>
      <c r="Q76" s="358">
        <f t="shared" si="4"/>
        <v>5.6678380000000006</v>
      </c>
      <c r="R76" s="359">
        <f>M76*0.005*0.001*Reference!$I$12</f>
        <v>0.112245</v>
      </c>
      <c r="S76" s="360">
        <f>M76*0.0001*0.001*Reference!$I$13</f>
        <v>3.3139000000000002E-2</v>
      </c>
      <c r="T76" s="358">
        <f>(J76*Reference!$F$11/1000)/2204.62</f>
        <v>0</v>
      </c>
      <c r="U76" s="359">
        <f>(J76/1000*Reference!$F$12)/2204.62*Reference!$I$12</f>
        <v>0</v>
      </c>
      <c r="V76" s="359">
        <f>(J76/1000*Reference!$F$13)/2204.62*Reference!$I$13</f>
        <v>0</v>
      </c>
      <c r="W76" s="359">
        <f t="shared" si="5"/>
        <v>5.8132220000000006</v>
      </c>
    </row>
    <row r="77" spans="1:23" s="355" customFormat="1">
      <c r="A77" s="404" t="s">
        <v>617</v>
      </c>
      <c r="B77" s="372">
        <v>933819115</v>
      </c>
      <c r="C77" s="470" t="s">
        <v>502</v>
      </c>
      <c r="D77" s="470" t="s">
        <v>583</v>
      </c>
      <c r="E77" s="366" t="s">
        <v>479</v>
      </c>
      <c r="F77" s="366" t="s">
        <v>493</v>
      </c>
      <c r="G77" s="366" t="s">
        <v>373</v>
      </c>
      <c r="H77" s="366" t="s">
        <v>481</v>
      </c>
      <c r="I77" s="367" t="s">
        <v>598</v>
      </c>
      <c r="J77" s="371">
        <f>'NG Elec KWH Annual'!$O28</f>
        <v>0</v>
      </c>
      <c r="K77" s="409">
        <f>'NG Elec Cost Annual'!$O28</f>
        <v>0</v>
      </c>
      <c r="L77" s="409"/>
      <c r="M77" s="356">
        <f>'NG Nat. Gas Therms Annual'!$O28</f>
        <v>1810</v>
      </c>
      <c r="N77" s="410">
        <f>'NG Nat. Gas Cost Annual'!$O28</f>
        <v>884.65</v>
      </c>
      <c r="O77" s="410">
        <f t="shared" si="6"/>
        <v>0.48875690607734806</v>
      </c>
      <c r="P77" s="357"/>
      <c r="Q77" s="358">
        <f t="shared" si="4"/>
        <v>9.5966200000000015</v>
      </c>
      <c r="R77" s="359">
        <f>M77*0.005*0.001*Reference!$I$12</f>
        <v>0.19005000000000002</v>
      </c>
      <c r="S77" s="360">
        <f>M77*0.0001*0.001*Reference!$I$13</f>
        <v>5.6110000000000014E-2</v>
      </c>
      <c r="T77" s="358">
        <f>(J77*Reference!$F$11/1000)/2204.62</f>
        <v>0</v>
      </c>
      <c r="U77" s="359">
        <f>(J77/1000*Reference!$F$12)/2204.62*Reference!$I$12</f>
        <v>0</v>
      </c>
      <c r="V77" s="359">
        <f>(J77/1000*Reference!$F$13)/2204.62*Reference!$I$13</f>
        <v>0</v>
      </c>
      <c r="W77" s="359">
        <f t="shared" si="5"/>
        <v>9.8427800000000012</v>
      </c>
    </row>
    <row r="78" spans="1:23" s="355" customFormat="1" ht="14" customHeight="1">
      <c r="A78" s="404" t="s">
        <v>618</v>
      </c>
      <c r="B78" s="461" t="s">
        <v>610</v>
      </c>
      <c r="C78" s="462" t="s">
        <v>611</v>
      </c>
      <c r="D78" s="470" t="s">
        <v>583</v>
      </c>
      <c r="E78" s="366" t="s">
        <v>479</v>
      </c>
      <c r="F78" s="366" t="s">
        <v>493</v>
      </c>
      <c r="G78" s="366" t="s">
        <v>373</v>
      </c>
      <c r="H78" s="366" t="s">
        <v>648</v>
      </c>
      <c r="I78" s="367" t="s">
        <v>652</v>
      </c>
      <c r="J78" s="371">
        <v>33179</v>
      </c>
      <c r="K78" s="409">
        <v>1478.02</v>
      </c>
      <c r="L78" s="409">
        <f t="shared" si="2"/>
        <v>4.4546851924410019E-2</v>
      </c>
      <c r="M78" s="356"/>
      <c r="N78" s="410"/>
      <c r="O78" s="410"/>
      <c r="P78" s="357"/>
      <c r="Q78" s="358">
        <f t="shared" si="4"/>
        <v>0</v>
      </c>
      <c r="R78" s="359">
        <f>M78*0.005*0.001*Reference!$I$12</f>
        <v>0</v>
      </c>
      <c r="S78" s="360">
        <f>M78*0.0001*0.001*Reference!$I$13</f>
        <v>0</v>
      </c>
      <c r="T78" s="358">
        <f>(J78*Reference!$F$11/1000)/2204.62</f>
        <v>9.406099463853181</v>
      </c>
      <c r="U78" s="359">
        <f>(J78/1000*Reference!$F$12)/2204.62*Reference!$I$12</f>
        <v>7.8442354600792887E-3</v>
      </c>
      <c r="V78" s="359">
        <f>(J78/1000*Reference!$F$13)/2204.62*Reference!$I$13</f>
        <v>5.2206109488256484E-2</v>
      </c>
      <c r="W78" s="359">
        <f t="shared" si="5"/>
        <v>9.4661498088015161</v>
      </c>
    </row>
    <row r="79" spans="1:23" s="355" customFormat="1">
      <c r="A79" s="404" t="s">
        <v>618</v>
      </c>
      <c r="B79" s="461" t="s">
        <v>612</v>
      </c>
      <c r="C79" s="462" t="s">
        <v>611</v>
      </c>
      <c r="D79" s="470" t="s">
        <v>583</v>
      </c>
      <c r="E79" s="366" t="s">
        <v>479</v>
      </c>
      <c r="F79" s="366" t="s">
        <v>493</v>
      </c>
      <c r="G79" s="366" t="s">
        <v>373</v>
      </c>
      <c r="H79" s="366" t="s">
        <v>648</v>
      </c>
      <c r="I79" s="367" t="s">
        <v>652</v>
      </c>
      <c r="J79" s="575">
        <v>32530</v>
      </c>
      <c r="K79" s="409">
        <v>1640.26</v>
      </c>
      <c r="L79" s="409">
        <f t="shared" si="2"/>
        <v>5.0422994159237629E-2</v>
      </c>
      <c r="M79" s="356"/>
      <c r="N79" s="410"/>
      <c r="O79" s="410"/>
      <c r="P79" s="357"/>
      <c r="Q79" s="358">
        <f t="shared" ref="Q79:Q108" si="7">M79*0.1*53.02*0.001</f>
        <v>0</v>
      </c>
      <c r="R79" s="359">
        <f>M79*0.005*0.001*Reference!$I$12</f>
        <v>0</v>
      </c>
      <c r="S79" s="360">
        <f>M79*0.0001*0.001*Reference!$I$13</f>
        <v>0</v>
      </c>
      <c r="T79" s="358">
        <f>(J79*Reference!$F$11/1000)/2204.62</f>
        <v>9.2221108399633493</v>
      </c>
      <c r="U79" s="359">
        <f>(J79/1000*Reference!$F$12)/2204.62*Reference!$I$12</f>
        <v>7.6907977792091157E-3</v>
      </c>
      <c r="V79" s="359">
        <f>(J79/1000*Reference!$F$13)/2204.62*Reference!$I$13</f>
        <v>5.1184928468398186E-2</v>
      </c>
      <c r="W79" s="359">
        <f t="shared" ref="W79:W108" si="8">SUM(Q79:V79)</f>
        <v>9.2809865662109576</v>
      </c>
    </row>
    <row r="80" spans="1:23" s="355" customFormat="1" ht="15" customHeight="1">
      <c r="A80" s="404" t="s">
        <v>618</v>
      </c>
      <c r="B80" s="461" t="s">
        <v>613</v>
      </c>
      <c r="C80" s="462" t="s">
        <v>611</v>
      </c>
      <c r="D80" s="470" t="s">
        <v>583</v>
      </c>
      <c r="E80" s="366" t="s">
        <v>479</v>
      </c>
      <c r="F80" s="366" t="s">
        <v>493</v>
      </c>
      <c r="G80" s="366" t="s">
        <v>373</v>
      </c>
      <c r="H80" s="366" t="s">
        <v>648</v>
      </c>
      <c r="I80" s="367" t="s">
        <v>652</v>
      </c>
      <c r="J80" s="575">
        <v>39838</v>
      </c>
      <c r="K80" s="409">
        <v>2259.7800000000002</v>
      </c>
      <c r="L80" s="409">
        <f t="shared" ref="L80:L108" si="9">K80/J80</f>
        <v>5.6724233144234151E-2</v>
      </c>
      <c r="M80" s="356"/>
      <c r="N80" s="410"/>
      <c r="O80" s="410"/>
      <c r="P80" s="357"/>
      <c r="Q80" s="358">
        <f t="shared" si="7"/>
        <v>0</v>
      </c>
      <c r="R80" s="359">
        <f>M80*0.005*0.001*Reference!$I$12</f>
        <v>0</v>
      </c>
      <c r="S80" s="360">
        <f>M80*0.0001*0.001*Reference!$I$13</f>
        <v>0</v>
      </c>
      <c r="T80" s="358">
        <f>(J80*Reference!$F$11/1000)/2204.62</f>
        <v>11.293896453810635</v>
      </c>
      <c r="U80" s="359">
        <f>(J80/1000*Reference!$F$12)/2204.62*Reference!$I$12</f>
        <v>9.4185675354482874E-3</v>
      </c>
      <c r="V80" s="359">
        <f>(J80/1000*Reference!$F$13)/2204.62*Reference!$I$13</f>
        <v>6.2683835853797942E-2</v>
      </c>
      <c r="W80" s="359">
        <f t="shared" si="8"/>
        <v>11.365998857199882</v>
      </c>
    </row>
    <row r="81" spans="1:23" s="355" customFormat="1">
      <c r="A81" s="404" t="s">
        <v>618</v>
      </c>
      <c r="B81" s="461" t="s">
        <v>614</v>
      </c>
      <c r="C81" s="462" t="s">
        <v>611</v>
      </c>
      <c r="D81" s="470" t="s">
        <v>583</v>
      </c>
      <c r="E81" s="366" t="s">
        <v>479</v>
      </c>
      <c r="F81" s="366" t="s">
        <v>493</v>
      </c>
      <c r="G81" s="366" t="s">
        <v>373</v>
      </c>
      <c r="H81" s="366" t="s">
        <v>648</v>
      </c>
      <c r="I81" s="367" t="s">
        <v>652</v>
      </c>
      <c r="J81" s="575">
        <v>22218</v>
      </c>
      <c r="K81" s="409">
        <v>1054.4199999999998</v>
      </c>
      <c r="L81" s="409">
        <f t="shared" si="9"/>
        <v>4.7457917004230799E-2</v>
      </c>
      <c r="M81" s="356"/>
      <c r="N81" s="410"/>
      <c r="O81" s="410"/>
      <c r="P81" s="357"/>
      <c r="Q81" s="358">
        <f t="shared" si="7"/>
        <v>0</v>
      </c>
      <c r="R81" s="359">
        <f>M81*0.005*0.001*Reference!$I$12</f>
        <v>0</v>
      </c>
      <c r="S81" s="360">
        <f>M81*0.0001*0.001*Reference!$I$13</f>
        <v>0</v>
      </c>
      <c r="T81" s="358">
        <f>(J81*Reference!$F$11/1000)/2204.62</f>
        <v>6.2987045386506519</v>
      </c>
      <c r="U81" s="359">
        <f>(J81/1000*Reference!$F$12)/2204.62*Reference!$I$12</f>
        <v>5.2528172474167883E-3</v>
      </c>
      <c r="V81" s="359">
        <f>(J81/1000*Reference!$F$13)/2204.62*Reference!$I$13</f>
        <v>3.4959321878600395E-2</v>
      </c>
      <c r="W81" s="359">
        <f t="shared" si="8"/>
        <v>6.3389166777766688</v>
      </c>
    </row>
    <row r="82" spans="1:23" s="355" customFormat="1" ht="14" customHeight="1">
      <c r="A82" s="404" t="s">
        <v>618</v>
      </c>
      <c r="B82" s="461" t="s">
        <v>615</v>
      </c>
      <c r="C82" s="462" t="s">
        <v>616</v>
      </c>
      <c r="D82" s="470" t="s">
        <v>583</v>
      </c>
      <c r="E82" s="366" t="s">
        <v>479</v>
      </c>
      <c r="F82" s="366" t="s">
        <v>493</v>
      </c>
      <c r="G82" s="366" t="s">
        <v>373</v>
      </c>
      <c r="H82" s="366" t="s">
        <v>648</v>
      </c>
      <c r="I82" s="367" t="s">
        <v>652</v>
      </c>
      <c r="J82" s="575">
        <v>53204</v>
      </c>
      <c r="K82" s="409">
        <v>2293.6800000000003</v>
      </c>
      <c r="L82" s="409">
        <f t="shared" si="9"/>
        <v>4.311104428238479E-2</v>
      </c>
      <c r="M82" s="356"/>
      <c r="N82" s="410"/>
      <c r="O82" s="410"/>
      <c r="P82" s="357"/>
      <c r="Q82" s="358">
        <f t="shared" si="7"/>
        <v>0</v>
      </c>
      <c r="R82" s="359">
        <f>M82*0.005*0.001*Reference!$I$12</f>
        <v>0</v>
      </c>
      <c r="S82" s="360">
        <f>M82*0.0001*0.001*Reference!$I$13</f>
        <v>0</v>
      </c>
      <c r="T82" s="358">
        <f>(J82*Reference!$F$11/1000)/2204.62</f>
        <v>15.08309822100861</v>
      </c>
      <c r="U82" s="359">
        <f>(J82/1000*Reference!$F$12)/2204.62*Reference!$I$12</f>
        <v>1.2578579927606573E-2</v>
      </c>
      <c r="V82" s="359">
        <f>(J82/1000*Reference!$F$13)/2204.62*Reference!$I$13</f>
        <v>8.3714815070170825E-2</v>
      </c>
      <c r="W82" s="359">
        <f t="shared" si="8"/>
        <v>15.179391616006386</v>
      </c>
    </row>
    <row r="83" spans="1:23" s="355" customFormat="1">
      <c r="A83" s="404" t="s">
        <v>617</v>
      </c>
      <c r="B83" s="372">
        <v>248811109</v>
      </c>
      <c r="C83" s="470" t="s">
        <v>497</v>
      </c>
      <c r="D83" s="470" t="s">
        <v>584</v>
      </c>
      <c r="E83" s="366" t="s">
        <v>479</v>
      </c>
      <c r="F83" s="366" t="s">
        <v>493</v>
      </c>
      <c r="G83" s="366" t="s">
        <v>372</v>
      </c>
      <c r="H83" s="366" t="s">
        <v>446</v>
      </c>
      <c r="I83" s="367"/>
      <c r="J83" s="371">
        <f>'NG Elec KWH Annual'!$O18</f>
        <v>0</v>
      </c>
      <c r="K83" s="409">
        <f>'NG Elec Cost Annual'!$O18</f>
        <v>0</v>
      </c>
      <c r="L83" s="409"/>
      <c r="M83" s="356">
        <f>'NG Nat. Gas Therms Annual'!$O18</f>
        <v>4963</v>
      </c>
      <c r="N83" s="410">
        <f>'NG Nat. Gas Cost Annual'!$O18</f>
        <v>1720.4100000000003</v>
      </c>
      <c r="O83" s="410">
        <f>N83/M83</f>
        <v>0.34664718920008064</v>
      </c>
      <c r="P83" s="357"/>
      <c r="Q83" s="358">
        <f t="shared" si="7"/>
        <v>26.313826000000002</v>
      </c>
      <c r="R83" s="359">
        <f>M83*0.005*0.001*Reference!$I$12</f>
        <v>0.52111499999999999</v>
      </c>
      <c r="S83" s="360">
        <f>M83*0.0001*0.001*Reference!$I$13</f>
        <v>0.15385300000000002</v>
      </c>
      <c r="T83" s="358">
        <f>(J83*Reference!$F$11/1000)/2204.62</f>
        <v>0</v>
      </c>
      <c r="U83" s="359">
        <f>(J83/1000*Reference!$F$12)/2204.62*Reference!$I$12</f>
        <v>0</v>
      </c>
      <c r="V83" s="359">
        <f>(J83/1000*Reference!$F$13)/2204.62*Reference!$I$13</f>
        <v>0</v>
      </c>
      <c r="W83" s="359">
        <f t="shared" si="8"/>
        <v>26.988794000000002</v>
      </c>
    </row>
    <row r="84" spans="1:23" s="355" customFormat="1">
      <c r="A84" s="404" t="s">
        <v>617</v>
      </c>
      <c r="B84" s="372">
        <v>288811101</v>
      </c>
      <c r="C84" s="470" t="s">
        <v>497</v>
      </c>
      <c r="D84" s="470" t="s">
        <v>584</v>
      </c>
      <c r="E84" s="366" t="s">
        <v>479</v>
      </c>
      <c r="F84" s="366" t="s">
        <v>493</v>
      </c>
      <c r="G84" s="366" t="s">
        <v>372</v>
      </c>
      <c r="H84" s="366" t="s">
        <v>57</v>
      </c>
      <c r="I84" s="367"/>
      <c r="J84" s="371">
        <f>'NG Elec KWH Annual'!$O19</f>
        <v>105680</v>
      </c>
      <c r="K84" s="409">
        <f>'NG Elec Cost Annual'!$O19</f>
        <v>6148.17</v>
      </c>
      <c r="L84" s="409">
        <f t="shared" si="9"/>
        <v>5.8177233156699468E-2</v>
      </c>
      <c r="M84" s="356">
        <f>'NG Nat. Gas Therms Annual'!$O19</f>
        <v>0</v>
      </c>
      <c r="N84" s="410">
        <f>'NG Nat. Gas Cost Annual'!$O19</f>
        <v>0</v>
      </c>
      <c r="O84" s="410"/>
      <c r="P84" s="357"/>
      <c r="Q84" s="358">
        <f t="shared" si="7"/>
        <v>0</v>
      </c>
      <c r="R84" s="359">
        <f>M84*0.005*0.001*Reference!$I$12</f>
        <v>0</v>
      </c>
      <c r="S84" s="360">
        <f>M84*0.0001*0.001*Reference!$I$13</f>
        <v>0</v>
      </c>
      <c r="T84" s="358">
        <f>(J84*Reference!$F$11/1000)/2204.62</f>
        <v>29.959811668224003</v>
      </c>
      <c r="U84" s="359">
        <f>(J84/1000*Reference!$F$12)/2204.62*Reference!$I$12</f>
        <v>2.4985044860338743E-2</v>
      </c>
      <c r="V84" s="359">
        <f>(J84/1000*Reference!$F$13)/2204.62*Reference!$I$13</f>
        <v>0.16628414511344358</v>
      </c>
      <c r="W84" s="359">
        <f t="shared" si="8"/>
        <v>30.151080858197787</v>
      </c>
    </row>
    <row r="85" spans="1:23" s="355" customFormat="1">
      <c r="A85" s="404" t="s">
        <v>617</v>
      </c>
      <c r="B85" s="372">
        <v>9428808118</v>
      </c>
      <c r="C85" s="470" t="s">
        <v>510</v>
      </c>
      <c r="D85" s="470" t="s">
        <v>585</v>
      </c>
      <c r="E85" s="366" t="s">
        <v>479</v>
      </c>
      <c r="F85" s="366" t="s">
        <v>493</v>
      </c>
      <c r="G85" s="366" t="s">
        <v>367</v>
      </c>
      <c r="H85" s="366" t="s">
        <v>454</v>
      </c>
      <c r="I85" s="367" t="s">
        <v>595</v>
      </c>
      <c r="J85" s="371">
        <f>'NG Elec KWH Annual'!$O91</f>
        <v>195</v>
      </c>
      <c r="K85" s="409">
        <f>'NG Elec Cost Annual'!$O91</f>
        <v>91.03</v>
      </c>
      <c r="L85" s="409">
        <f t="shared" si="9"/>
        <v>0.46682051282051285</v>
      </c>
      <c r="M85" s="356">
        <f>'NG Nat. Gas Therms Annual'!$O91</f>
        <v>120</v>
      </c>
      <c r="N85" s="410">
        <f>'NG Nat. Gas Cost Annual'!$O91</f>
        <v>355.66000000000008</v>
      </c>
      <c r="O85" s="410">
        <f t="shared" ref="O85:O86" si="10">N85/M85</f>
        <v>2.963833333333334</v>
      </c>
      <c r="P85" s="357"/>
      <c r="Q85" s="358">
        <f t="shared" si="7"/>
        <v>0.63624000000000003</v>
      </c>
      <c r="R85" s="359">
        <f>M85*0.005*0.001*Reference!$I$12</f>
        <v>1.2599999999999998E-2</v>
      </c>
      <c r="S85" s="360">
        <f>M85*0.0001*0.001*Reference!$I$13</f>
        <v>3.7200000000000002E-3</v>
      </c>
      <c r="T85" s="358">
        <f>(J85*Reference!$F$11/1000)/2204.62</f>
        <v>5.528163583746859E-2</v>
      </c>
      <c r="U85" s="359">
        <f>(J85/1000*Reference!$F$12)/2204.62*Reference!$I$12</f>
        <v>4.6102230769928598E-5</v>
      </c>
      <c r="V85" s="359">
        <f>(J85/1000*Reference!$F$13)/2204.62*Reference!$I$13</f>
        <v>3.0682634649055164E-4</v>
      </c>
      <c r="W85" s="359">
        <f t="shared" si="8"/>
        <v>0.70819456441472906</v>
      </c>
    </row>
    <row r="86" spans="1:23" s="355" customFormat="1">
      <c r="A86" s="404" t="s">
        <v>617</v>
      </c>
      <c r="B86" s="372">
        <v>9753819107</v>
      </c>
      <c r="C86" s="470" t="s">
        <v>510</v>
      </c>
      <c r="D86" s="470" t="s">
        <v>585</v>
      </c>
      <c r="E86" s="366" t="s">
        <v>479</v>
      </c>
      <c r="F86" s="366" t="s">
        <v>493</v>
      </c>
      <c r="G86" s="366" t="s">
        <v>367</v>
      </c>
      <c r="H86" s="366" t="s">
        <v>455</v>
      </c>
      <c r="I86" s="367"/>
      <c r="J86" s="371">
        <f>'NG Elec KWH Annual'!$O94</f>
        <v>180960</v>
      </c>
      <c r="K86" s="409">
        <f>'NG Elec Cost Annual'!$O94</f>
        <v>8331.8100000000013</v>
      </c>
      <c r="L86" s="409">
        <f t="shared" si="9"/>
        <v>4.6042274535809023E-2</v>
      </c>
      <c r="M86" s="356">
        <f>'NG Nat. Gas Therms Annual'!$O94</f>
        <v>3738</v>
      </c>
      <c r="N86" s="410">
        <f>'NG Nat. Gas Cost Annual'!$O94</f>
        <v>3350.6600000000008</v>
      </c>
      <c r="O86" s="410">
        <f t="shared" si="10"/>
        <v>0.89637774210807941</v>
      </c>
      <c r="P86" s="357"/>
      <c r="Q86" s="358">
        <f t="shared" si="7"/>
        <v>19.818875999999999</v>
      </c>
      <c r="R86" s="359">
        <f>M86*0.005*0.001*Reference!$I$12</f>
        <v>0.39249000000000006</v>
      </c>
      <c r="S86" s="360">
        <f>M86*0.0001*0.001*Reference!$I$13</f>
        <v>0.11587800000000001</v>
      </c>
      <c r="T86" s="358">
        <f>(J86*Reference!$F$11/1000)/2204.62</f>
        <v>51.301358057170852</v>
      </c>
      <c r="U86" s="359">
        <f>(J86/1000*Reference!$F$12)/2204.62*Reference!$I$12</f>
        <v>4.2782870154493738E-2</v>
      </c>
      <c r="V86" s="359">
        <f>(J86/1000*Reference!$F$13)/2204.62*Reference!$I$13</f>
        <v>0.28473484954323197</v>
      </c>
      <c r="W86" s="359">
        <f t="shared" si="8"/>
        <v>71.956119776868576</v>
      </c>
    </row>
    <row r="87" spans="1:23" s="355" customFormat="1">
      <c r="A87" s="404" t="s">
        <v>617</v>
      </c>
      <c r="B87" s="372">
        <v>2133819102</v>
      </c>
      <c r="C87" s="470" t="s">
        <v>508</v>
      </c>
      <c r="D87" s="470" t="s">
        <v>580</v>
      </c>
      <c r="E87" s="366" t="s">
        <v>479</v>
      </c>
      <c r="F87" s="366" t="s">
        <v>493</v>
      </c>
      <c r="G87" s="366" t="s">
        <v>417</v>
      </c>
      <c r="H87" s="366" t="s">
        <v>405</v>
      </c>
      <c r="I87" s="367"/>
      <c r="J87" s="371">
        <f>'NG Elec KWH Annual'!$O41</f>
        <v>16395</v>
      </c>
      <c r="K87" s="409">
        <f>'NG Elec Cost Annual'!$O41</f>
        <v>2395.83</v>
      </c>
      <c r="L87" s="409">
        <f t="shared" si="9"/>
        <v>0.14613174748398902</v>
      </c>
      <c r="M87" s="356">
        <f>'NG Nat. Gas Therms Annual'!$O41</f>
        <v>0</v>
      </c>
      <c r="N87" s="410">
        <f>'NG Nat. Gas Cost Annual'!$O41</f>
        <v>0</v>
      </c>
      <c r="O87" s="410"/>
      <c r="P87" s="357"/>
      <c r="Q87" s="358">
        <f t="shared" si="7"/>
        <v>0</v>
      </c>
      <c r="R87" s="359">
        <f>M87*0.005*0.001*Reference!$I$12</f>
        <v>0</v>
      </c>
      <c r="S87" s="360">
        <f>M87*0.0001*0.001*Reference!$I$13</f>
        <v>0</v>
      </c>
      <c r="T87" s="358">
        <f>(J87*Reference!$F$11/1000)/2204.62</f>
        <v>4.6479098438733208</v>
      </c>
      <c r="U87" s="359">
        <f>(J87/1000*Reference!$F$12)/2204.62*Reference!$I$12</f>
        <v>3.8761337101178429E-3</v>
      </c>
      <c r="V87" s="359">
        <f>(J87/1000*Reference!$F$13)/2204.62*Reference!$I$13</f>
        <v>2.579701513185946E-2</v>
      </c>
      <c r="W87" s="359">
        <f t="shared" si="8"/>
        <v>4.6775829927152976</v>
      </c>
    </row>
    <row r="88" spans="1:23" s="355" customFormat="1">
      <c r="A88" s="404" t="s">
        <v>617</v>
      </c>
      <c r="B88" s="372">
        <v>3908811104</v>
      </c>
      <c r="C88" s="470" t="s">
        <v>521</v>
      </c>
      <c r="D88" s="470" t="s">
        <v>579</v>
      </c>
      <c r="E88" s="366" t="s">
        <v>479</v>
      </c>
      <c r="F88" s="366" t="s">
        <v>3</v>
      </c>
      <c r="G88" s="366" t="s">
        <v>9</v>
      </c>
      <c r="H88" s="366" t="s">
        <v>473</v>
      </c>
      <c r="I88" s="367"/>
      <c r="J88" s="371">
        <f>'NG Elec KWH Annual'!$O61</f>
        <v>10612</v>
      </c>
      <c r="K88" s="409">
        <f>'NG Elec Cost Annual'!$O61</f>
        <v>896.26999999999987</v>
      </c>
      <c r="L88" s="409">
        <f t="shared" si="9"/>
        <v>8.4458160572936286E-2</v>
      </c>
      <c r="M88" s="356">
        <f>'NG Nat. Gas Therms Annual'!$O61</f>
        <v>0</v>
      </c>
      <c r="N88" s="410">
        <f>'NG Nat. Gas Cost Annual'!$O61</f>
        <v>0</v>
      </c>
      <c r="O88" s="410"/>
      <c r="P88" s="473"/>
      <c r="Q88" s="358">
        <f t="shared" si="7"/>
        <v>0</v>
      </c>
      <c r="R88" s="359">
        <f>M88*0.005*0.001*Reference!$I$12</f>
        <v>0</v>
      </c>
      <c r="S88" s="360">
        <f>M88*0.0001*0.001*Reference!$I$13</f>
        <v>0</v>
      </c>
      <c r="T88" s="358">
        <f>(J88*Reference!$F$11/1000)/2204.62</f>
        <v>3.0084549718318803</v>
      </c>
      <c r="U88" s="359">
        <f>(J88/1000*Reference!$F$12)/2204.62*Reference!$I$12</f>
        <v>2.5089070406691403E-3</v>
      </c>
      <c r="V88" s="359">
        <f>(J88/1000*Reference!$F$13)/2204.62*Reference!$I$13</f>
        <v>1.6697647122860176E-2</v>
      </c>
      <c r="W88" s="359">
        <f t="shared" si="8"/>
        <v>3.0276615259954096</v>
      </c>
    </row>
    <row r="89" spans="1:23" s="355" customFormat="1">
      <c r="A89" s="404" t="s">
        <v>617</v>
      </c>
      <c r="B89" s="372">
        <v>4568811105</v>
      </c>
      <c r="C89" s="470" t="s">
        <v>506</v>
      </c>
      <c r="D89" s="470" t="s">
        <v>579</v>
      </c>
      <c r="E89" s="366" t="s">
        <v>479</v>
      </c>
      <c r="F89" s="366" t="s">
        <v>3</v>
      </c>
      <c r="G89" s="366" t="s">
        <v>490</v>
      </c>
      <c r="H89" s="366" t="s">
        <v>474</v>
      </c>
      <c r="I89" s="367"/>
      <c r="J89" s="371">
        <f>'NG Elec KWH Annual'!$O68</f>
        <v>9759</v>
      </c>
      <c r="K89" s="409">
        <f>'NG Elec Cost Annual'!$O68</f>
        <v>868.21</v>
      </c>
      <c r="L89" s="409">
        <f t="shared" si="9"/>
        <v>8.8965057895276159E-2</v>
      </c>
      <c r="M89" s="356">
        <f>'NG Nat. Gas Therms Annual'!$O68</f>
        <v>0</v>
      </c>
      <c r="N89" s="410">
        <f>'NG Nat. Gas Cost Annual'!$O68</f>
        <v>0</v>
      </c>
      <c r="O89" s="410"/>
      <c r="P89" s="473"/>
      <c r="Q89" s="358">
        <f t="shared" si="7"/>
        <v>0</v>
      </c>
      <c r="R89" s="359">
        <f>M89*0.005*0.001*Reference!$I$12</f>
        <v>0</v>
      </c>
      <c r="S89" s="360">
        <f>M89*0.0001*0.001*Reference!$I$13</f>
        <v>0</v>
      </c>
      <c r="T89" s="358">
        <f>(J89*Reference!$F$11/1000)/2204.62</f>
        <v>2.7666332519890049</v>
      </c>
      <c r="U89" s="359">
        <f>(J89/1000*Reference!$F$12)/2204.62*Reference!$I$12</f>
        <v>2.3072393337627345E-3</v>
      </c>
      <c r="V89" s="359">
        <f>(J89/1000*Reference!$F$13)/2204.62*Reference!$I$13</f>
        <v>1.5355478540519458E-2</v>
      </c>
      <c r="W89" s="359">
        <f t="shared" si="8"/>
        <v>2.7842959698632872</v>
      </c>
    </row>
    <row r="90" spans="1:23" s="355" customFormat="1">
      <c r="A90" s="404" t="s">
        <v>617</v>
      </c>
      <c r="B90" s="460">
        <v>9488810107</v>
      </c>
      <c r="C90" s="470" t="s">
        <v>521</v>
      </c>
      <c r="D90" s="470" t="s">
        <v>579</v>
      </c>
      <c r="E90" s="366" t="s">
        <v>479</v>
      </c>
      <c r="F90" s="366" t="s">
        <v>3</v>
      </c>
      <c r="G90" s="366" t="s">
        <v>7</v>
      </c>
      <c r="H90" s="366" t="s">
        <v>47</v>
      </c>
      <c r="I90" s="367" t="s">
        <v>537</v>
      </c>
      <c r="J90" s="371">
        <f>'NG Elec KWH Annual'!$O92</f>
        <v>39680</v>
      </c>
      <c r="K90" s="409">
        <f>'NG Elec Cost Annual'!$O92</f>
        <v>13623.43</v>
      </c>
      <c r="L90" s="409">
        <f t="shared" si="9"/>
        <v>0.34333240927419356</v>
      </c>
      <c r="M90" s="356">
        <f>'NG Nat. Gas Therms Annual'!$O92</f>
        <v>0</v>
      </c>
      <c r="N90" s="410">
        <f>'NG Nat. Gas Cost Annual'!$O92</f>
        <v>0</v>
      </c>
      <c r="O90" s="410"/>
      <c r="P90" s="473"/>
      <c r="Q90" s="358">
        <f t="shared" si="7"/>
        <v>0</v>
      </c>
      <c r="R90" s="359">
        <f>M90*0.005*0.001*Reference!$I$12</f>
        <v>0</v>
      </c>
      <c r="S90" s="360">
        <f>M90*0.0001*0.001*Reference!$I$13</f>
        <v>0</v>
      </c>
      <c r="T90" s="358">
        <f>(J90*Reference!$F$11/1000)/2204.62</f>
        <v>11.249104154003865</v>
      </c>
      <c r="U90" s="359">
        <f>(J90/1000*Reference!$F$12)/2204.62*Reference!$I$12</f>
        <v>9.3812129074398298E-3</v>
      </c>
      <c r="V90" s="359">
        <f>(J90/1000*Reference!$F$13)/2204.62*Reference!$I$13</f>
        <v>6.2435227839718416E-2</v>
      </c>
      <c r="W90" s="359">
        <f t="shared" si="8"/>
        <v>11.320920594751023</v>
      </c>
    </row>
    <row r="91" spans="1:23" s="355" customFormat="1">
      <c r="A91" s="404" t="s">
        <v>617</v>
      </c>
      <c r="B91" s="460">
        <v>5668811108</v>
      </c>
      <c r="C91" s="470" t="s">
        <v>506</v>
      </c>
      <c r="D91" s="470" t="s">
        <v>579</v>
      </c>
      <c r="E91" s="366" t="s">
        <v>479</v>
      </c>
      <c r="F91" s="366" t="s">
        <v>3</v>
      </c>
      <c r="G91" s="366" t="s">
        <v>17</v>
      </c>
      <c r="H91" s="366" t="s">
        <v>39</v>
      </c>
      <c r="I91" s="367"/>
      <c r="J91" s="371">
        <f>'NG Elec KWH Annual'!$O76</f>
        <v>1144</v>
      </c>
      <c r="K91" s="409">
        <f>'NG Elec Cost Annual'!$O76</f>
        <v>403.95</v>
      </c>
      <c r="L91" s="409">
        <f t="shared" si="9"/>
        <v>0.35310314685314687</v>
      </c>
      <c r="M91" s="356">
        <f>'NG Nat. Gas Therms Annual'!$O76</f>
        <v>0</v>
      </c>
      <c r="N91" s="410">
        <f>'NG Nat. Gas Cost Annual'!$O76</f>
        <v>0</v>
      </c>
      <c r="O91" s="410"/>
      <c r="P91" s="473"/>
      <c r="Q91" s="358">
        <f t="shared" si="7"/>
        <v>0</v>
      </c>
      <c r="R91" s="359">
        <f>M91*0.005*0.001*Reference!$I$12</f>
        <v>0</v>
      </c>
      <c r="S91" s="360">
        <f>M91*0.0001*0.001*Reference!$I$13</f>
        <v>0</v>
      </c>
      <c r="T91" s="358">
        <f>(J91*Reference!$F$11/1000)/2204.62</f>
        <v>0.3243189302464824</v>
      </c>
      <c r="U91" s="359">
        <f>(J91/1000*Reference!$F$12)/2204.62*Reference!$I$12</f>
        <v>2.7046642051691444E-4</v>
      </c>
      <c r="V91" s="359">
        <f>(J91/1000*Reference!$F$13)/2204.62*Reference!$I$13</f>
        <v>1.8000478994112364E-3</v>
      </c>
      <c r="W91" s="359">
        <f t="shared" si="8"/>
        <v>0.32638944456641056</v>
      </c>
    </row>
    <row r="92" spans="1:23" s="355" customFormat="1">
      <c r="A92" s="404" t="s">
        <v>617</v>
      </c>
      <c r="B92" s="460">
        <v>9308810101</v>
      </c>
      <c r="C92" s="470" t="s">
        <v>512</v>
      </c>
      <c r="D92" s="470" t="s">
        <v>579</v>
      </c>
      <c r="E92" s="366" t="s">
        <v>479</v>
      </c>
      <c r="F92" s="366" t="s">
        <v>3</v>
      </c>
      <c r="G92" s="366" t="s">
        <v>8</v>
      </c>
      <c r="H92" s="366" t="s">
        <v>47</v>
      </c>
      <c r="I92" s="367"/>
      <c r="J92" s="371">
        <f>'NG Elec KWH Annual'!$O90</f>
        <v>0</v>
      </c>
      <c r="K92" s="409">
        <f>'NG Elec Cost Annual'!$O90</f>
        <v>0</v>
      </c>
      <c r="L92" s="409"/>
      <c r="M92" s="356">
        <f>'NG Nat. Gas Therms Annual'!$O90</f>
        <v>1532</v>
      </c>
      <c r="N92" s="410">
        <f>'NG Nat. Gas Cost Annual'!$O90</f>
        <v>816.81</v>
      </c>
      <c r="O92" s="410">
        <f>N92/M92</f>
        <v>0.53316579634464745</v>
      </c>
      <c r="P92" s="473"/>
      <c r="Q92" s="358">
        <f t="shared" si="7"/>
        <v>8.1226640000000021</v>
      </c>
      <c r="R92" s="359">
        <f>M92*0.005*0.001*Reference!$I$12</f>
        <v>0.16086</v>
      </c>
      <c r="S92" s="360">
        <f>M92*0.0001*0.001*Reference!$I$13</f>
        <v>4.7492000000000006E-2</v>
      </c>
      <c r="T92" s="358">
        <f>(J92*Reference!$F$11/1000)/2204.62</f>
        <v>0</v>
      </c>
      <c r="U92" s="359">
        <f>(J92/1000*Reference!$F$12)/2204.62*Reference!$I$12</f>
        <v>0</v>
      </c>
      <c r="V92" s="359">
        <f>(J92/1000*Reference!$F$13)/2204.62*Reference!$I$13</f>
        <v>0</v>
      </c>
      <c r="W92" s="359">
        <f t="shared" si="8"/>
        <v>8.3310160000000018</v>
      </c>
    </row>
    <row r="93" spans="1:23" s="355" customFormat="1">
      <c r="A93" s="404" t="s">
        <v>617</v>
      </c>
      <c r="B93" s="372">
        <v>2703112003</v>
      </c>
      <c r="C93" s="470" t="s">
        <v>512</v>
      </c>
      <c r="D93" s="470" t="s">
        <v>579</v>
      </c>
      <c r="E93" s="366" t="s">
        <v>479</v>
      </c>
      <c r="F93" s="366" t="s">
        <v>3</v>
      </c>
      <c r="G93" s="366" t="s">
        <v>8</v>
      </c>
      <c r="H93" s="366" t="s">
        <v>25</v>
      </c>
      <c r="I93" s="367"/>
      <c r="J93" s="371">
        <f>'NG Elec KWH Annual'!$O48</f>
        <v>24935</v>
      </c>
      <c r="K93" s="409">
        <f>'NG Elec Cost Annual'!$O48</f>
        <v>6618.1900000000005</v>
      </c>
      <c r="L93" s="409">
        <f t="shared" si="9"/>
        <v>0.26541768598355725</v>
      </c>
      <c r="M93" s="356">
        <f>'NG Nat. Gas Therms Annual'!$O48</f>
        <v>0</v>
      </c>
      <c r="N93" s="410">
        <f>'NG Nat. Gas Cost Annual'!$O48</f>
        <v>0</v>
      </c>
      <c r="O93" s="410"/>
      <c r="P93" s="357"/>
      <c r="Q93" s="358">
        <f t="shared" si="7"/>
        <v>0</v>
      </c>
      <c r="R93" s="359">
        <f>M93*0.005*0.001*Reference!$I$12</f>
        <v>0</v>
      </c>
      <c r="S93" s="360">
        <f>M93*0.0001*0.001*Reference!$I$13</f>
        <v>0</v>
      </c>
      <c r="T93" s="358">
        <f>(J93*Reference!$F$11/1000)/2204.62</f>
        <v>7.0689619979860474</v>
      </c>
      <c r="U93" s="359">
        <f>(J93/1000*Reference!$F$12)/2204.62*Reference!$I$12</f>
        <v>5.8951749961444599E-3</v>
      </c>
      <c r="V93" s="359">
        <f>(J93/1000*Reference!$F$13)/2204.62*Reference!$I$13</f>
        <v>3.9234435639702081E-2</v>
      </c>
      <c r="W93" s="359">
        <f t="shared" si="8"/>
        <v>7.1140916086218944</v>
      </c>
    </row>
    <row r="94" spans="1:23" s="355" customFormat="1">
      <c r="A94" s="404" t="s">
        <v>617</v>
      </c>
      <c r="B94" s="460">
        <v>1608811106</v>
      </c>
      <c r="C94" s="470" t="s">
        <v>506</v>
      </c>
      <c r="D94" s="470" t="s">
        <v>579</v>
      </c>
      <c r="E94" s="366" t="s">
        <v>479</v>
      </c>
      <c r="F94" s="366" t="s">
        <v>3</v>
      </c>
      <c r="G94" s="366" t="s">
        <v>11</v>
      </c>
      <c r="H94" s="366" t="s">
        <v>66</v>
      </c>
      <c r="I94" s="367"/>
      <c r="J94" s="371">
        <f>'NG Elec KWH Annual'!$O36</f>
        <v>34308</v>
      </c>
      <c r="K94" s="409">
        <f>'NG Elec Cost Annual'!$O36</f>
        <v>4860.8700000000008</v>
      </c>
      <c r="L94" s="409">
        <f t="shared" si="9"/>
        <v>0.1416832808674362</v>
      </c>
      <c r="M94" s="356">
        <f>'NG Nat. Gas Therms Annual'!$O36</f>
        <v>0</v>
      </c>
      <c r="N94" s="410">
        <f>'NG Nat. Gas Cost Annual'!$O36</f>
        <v>0</v>
      </c>
      <c r="O94" s="410"/>
      <c r="P94" s="357"/>
      <c r="Q94" s="358">
        <f t="shared" si="7"/>
        <v>0</v>
      </c>
      <c r="R94" s="359">
        <f>M94*0.005*0.001*Reference!$I$12</f>
        <v>0</v>
      </c>
      <c r="S94" s="360">
        <f>M94*0.0001*0.001*Reference!$I$13</f>
        <v>0</v>
      </c>
      <c r="T94" s="358">
        <f>(J94*Reference!$F$11/1000)/2204.62</f>
        <v>9.7261659605737041</v>
      </c>
      <c r="U94" s="359">
        <f>(J94/1000*Reference!$F$12)/2204.62*Reference!$I$12</f>
        <v>8.1111555551523617E-3</v>
      </c>
      <c r="V94" s="359">
        <f>(J94/1000*Reference!$F$13)/2204.62*Reference!$I$13</f>
        <v>5.3982555361014602E-2</v>
      </c>
      <c r="W94" s="359">
        <f t="shared" si="8"/>
        <v>9.7882596714898717</v>
      </c>
    </row>
    <row r="95" spans="1:23" s="355" customFormat="1">
      <c r="A95" s="404" t="s">
        <v>617</v>
      </c>
      <c r="B95" s="403">
        <v>4588811101</v>
      </c>
      <c r="C95" s="474" t="s">
        <v>522</v>
      </c>
      <c r="D95" s="470" t="s">
        <v>579</v>
      </c>
      <c r="E95" s="366" t="s">
        <v>479</v>
      </c>
      <c r="F95" s="366" t="s">
        <v>3</v>
      </c>
      <c r="G95" s="366" t="s">
        <v>10</v>
      </c>
      <c r="H95" s="366" t="s">
        <v>456</v>
      </c>
      <c r="I95" s="367"/>
      <c r="J95" s="371">
        <f>'NG Elec KWH Annual'!$O69</f>
        <v>4800</v>
      </c>
      <c r="K95" s="409">
        <f>'NG Elec Cost Annual'!$O69</f>
        <v>608.54</v>
      </c>
      <c r="L95" s="409">
        <f t="shared" si="9"/>
        <v>0.12677916666666667</v>
      </c>
      <c r="M95" s="356">
        <f>'NG Nat. Gas Therms Annual'!$O69</f>
        <v>0</v>
      </c>
      <c r="N95" s="410">
        <f>'NG Nat. Gas Cost Annual'!$O69</f>
        <v>0</v>
      </c>
      <c r="O95" s="410"/>
      <c r="P95" s="357"/>
      <c r="Q95" s="358">
        <f t="shared" si="7"/>
        <v>0</v>
      </c>
      <c r="R95" s="359">
        <f>M95*0.005*0.001*Reference!$I$12</f>
        <v>0</v>
      </c>
      <c r="S95" s="360">
        <f>M95*0.0001*0.001*Reference!$I$13</f>
        <v>0</v>
      </c>
      <c r="T95" s="358">
        <f>(J95*Reference!$F$11/1000)/2204.62</f>
        <v>1.3607787283069193</v>
      </c>
      <c r="U95" s="359">
        <f>(J95/1000*Reference!$F$12)/2204.62*Reference!$I$12</f>
        <v>1.1348241420290118E-3</v>
      </c>
      <c r="V95" s="359">
        <f>(J95/1000*Reference!$F$13)/2204.62*Reference!$I$13</f>
        <v>7.5526485289981954E-3</v>
      </c>
      <c r="W95" s="359">
        <f t="shared" si="8"/>
        <v>1.3694662009779466</v>
      </c>
    </row>
    <row r="96" spans="1:23" s="355" customFormat="1">
      <c r="A96" s="404" t="s">
        <v>617</v>
      </c>
      <c r="B96" s="460">
        <v>4513814101</v>
      </c>
      <c r="C96" s="470" t="s">
        <v>515</v>
      </c>
      <c r="D96" s="475" t="s">
        <v>577</v>
      </c>
      <c r="E96" s="366" t="s">
        <v>479</v>
      </c>
      <c r="F96" s="366" t="s">
        <v>680</v>
      </c>
      <c r="G96" s="366" t="s">
        <v>489</v>
      </c>
      <c r="H96" s="366" t="s">
        <v>451</v>
      </c>
      <c r="I96" s="367"/>
      <c r="J96" s="371">
        <f>'NG Elec KWH Annual'!$O66</f>
        <v>24321</v>
      </c>
      <c r="K96" s="409">
        <f>'NG Elec Cost Annual'!$O66</f>
        <v>1760.3199999999997</v>
      </c>
      <c r="L96" s="409">
        <f t="shared" si="9"/>
        <v>7.2378602853501076E-2</v>
      </c>
      <c r="M96" s="356">
        <f>'NG Nat. Gas Therms Annual'!$O66</f>
        <v>1749</v>
      </c>
      <c r="N96" s="410">
        <f>'NG Nat. Gas Cost Annual'!$O66</f>
        <v>1781.79</v>
      </c>
      <c r="O96" s="410">
        <f>N96/M96</f>
        <v>1.0187478559176673</v>
      </c>
      <c r="P96" s="357"/>
      <c r="Q96" s="358">
        <f t="shared" si="7"/>
        <v>9.2731980000000007</v>
      </c>
      <c r="R96" s="359">
        <f>M96*0.005*0.001*Reference!$I$12</f>
        <v>0.18364500000000003</v>
      </c>
      <c r="S96" s="360">
        <f>M96*0.0001*0.001*Reference!$I$13</f>
        <v>5.4218999999999996E-2</v>
      </c>
      <c r="T96" s="358">
        <f>(J96*Reference!$F$11/1000)/2204.62</f>
        <v>6.8948957189901208</v>
      </c>
      <c r="U96" s="359">
        <f>(J96/1000*Reference!$F$12)/2204.62*Reference!$I$12</f>
        <v>5.7500120746432496E-3</v>
      </c>
      <c r="V96" s="359">
        <f>(J96/1000*Reference!$F$13)/2204.62*Reference!$I$13</f>
        <v>3.8268326015367726E-2</v>
      </c>
      <c r="W96" s="359">
        <f t="shared" si="8"/>
        <v>16.449976057080132</v>
      </c>
    </row>
    <row r="97" spans="1:23">
      <c r="A97" s="404" t="s">
        <v>617</v>
      </c>
      <c r="B97" s="372">
        <v>4399122004</v>
      </c>
      <c r="C97" s="470" t="s">
        <v>515</v>
      </c>
      <c r="D97" s="470" t="s">
        <v>577</v>
      </c>
      <c r="E97" s="366" t="s">
        <v>479</v>
      </c>
      <c r="F97" s="366" t="s">
        <v>680</v>
      </c>
      <c r="G97" s="366" t="s">
        <v>482</v>
      </c>
      <c r="H97" s="366" t="s">
        <v>35</v>
      </c>
      <c r="I97" s="367"/>
      <c r="J97" s="371">
        <f>'NG Elec KWH Annual'!$O65</f>
        <v>0</v>
      </c>
      <c r="K97" s="409">
        <f>'NG Elec Cost Annual'!$O65</f>
        <v>0</v>
      </c>
      <c r="L97" s="409"/>
      <c r="M97" s="356">
        <f>'NG Nat. Gas Therms Annual'!$O65</f>
        <v>677</v>
      </c>
      <c r="N97" s="410">
        <f>'NG Nat. Gas Cost Annual'!$O65</f>
        <v>520.99999999999989</v>
      </c>
      <c r="O97" s="410">
        <f>N97/M97</f>
        <v>0.76957163958641051</v>
      </c>
      <c r="P97" s="437"/>
      <c r="Q97" s="358">
        <f t="shared" si="7"/>
        <v>3.5894540000000004</v>
      </c>
      <c r="R97" s="359">
        <f>M97*0.005*0.001*Reference!$I$12</f>
        <v>7.1085000000000009E-2</v>
      </c>
      <c r="S97" s="360">
        <f>M97*0.0001*0.001*Reference!$I$13</f>
        <v>2.0987000000000002E-2</v>
      </c>
      <c r="T97" s="358">
        <f>(J97*Reference!$F$11/1000)/2204.62</f>
        <v>0</v>
      </c>
      <c r="U97" s="359">
        <f>(J97/1000*Reference!$F$12)/2204.62*Reference!$I$12</f>
        <v>0</v>
      </c>
      <c r="V97" s="359">
        <f>(J97/1000*Reference!$F$13)/2204.62*Reference!$I$13</f>
        <v>0</v>
      </c>
      <c r="W97" s="359">
        <f t="shared" si="8"/>
        <v>3.6815260000000003</v>
      </c>
    </row>
    <row r="98" spans="1:23">
      <c r="A98" s="404" t="s">
        <v>617</v>
      </c>
      <c r="B98" s="372">
        <v>8193819106</v>
      </c>
      <c r="C98" s="470" t="s">
        <v>511</v>
      </c>
      <c r="D98" s="470" t="s">
        <v>581</v>
      </c>
      <c r="E98" s="366" t="s">
        <v>479</v>
      </c>
      <c r="F98" s="366" t="s">
        <v>679</v>
      </c>
      <c r="G98" s="366" t="s">
        <v>488</v>
      </c>
      <c r="H98" s="366" t="s">
        <v>453</v>
      </c>
      <c r="I98" s="367"/>
      <c r="J98" s="371">
        <f>'NG Elec KWH Annual'!$O87</f>
        <v>0</v>
      </c>
      <c r="K98" s="409">
        <f>'NG Elec Cost Annual'!$O87</f>
        <v>0</v>
      </c>
      <c r="L98" s="409"/>
      <c r="M98" s="356">
        <f>'NG Nat. Gas Therms Annual'!$O87</f>
        <v>12763</v>
      </c>
      <c r="N98" s="410">
        <f>'NG Nat. Gas Cost Annual'!$O87</f>
        <v>3506.89</v>
      </c>
      <c r="O98" s="410">
        <f>N98/M98</f>
        <v>0.27477003839222752</v>
      </c>
      <c r="P98" s="437"/>
      <c r="Q98" s="358">
        <f t="shared" si="7"/>
        <v>67.669426000000001</v>
      </c>
      <c r="R98" s="359">
        <f>M98*0.005*0.001*Reference!$I$12</f>
        <v>1.3401150000000002</v>
      </c>
      <c r="S98" s="360">
        <f>M98*0.0001*0.001*Reference!$I$13</f>
        <v>0.39565299999999998</v>
      </c>
      <c r="T98" s="358">
        <f>(J98*Reference!$F$11/1000)/2204.62</f>
        <v>0</v>
      </c>
      <c r="U98" s="359">
        <f>(J98/1000*Reference!$F$12)/2204.62*Reference!$I$12</f>
        <v>0</v>
      </c>
      <c r="V98" s="359">
        <f>(J98/1000*Reference!$F$13)/2204.62*Reference!$I$13</f>
        <v>0</v>
      </c>
      <c r="W98" s="359">
        <f t="shared" si="8"/>
        <v>69.405193999999995</v>
      </c>
    </row>
    <row r="99" spans="1:23">
      <c r="A99" s="404" t="s">
        <v>617</v>
      </c>
      <c r="B99" s="372">
        <v>2693810107</v>
      </c>
      <c r="C99" s="470" t="s">
        <v>511</v>
      </c>
      <c r="D99" s="470" t="s">
        <v>581</v>
      </c>
      <c r="E99" s="366" t="s">
        <v>479</v>
      </c>
      <c r="F99" s="366" t="s">
        <v>679</v>
      </c>
      <c r="G99" s="366" t="s">
        <v>488</v>
      </c>
      <c r="H99" s="366" t="s">
        <v>406</v>
      </c>
      <c r="I99" s="367"/>
      <c r="J99" s="371">
        <f>'NG Elec KWH Annual'!$O47</f>
        <v>79640</v>
      </c>
      <c r="K99" s="409">
        <f>'NG Elec Cost Annual'!$O47</f>
        <v>4879.4999999999991</v>
      </c>
      <c r="L99" s="409">
        <f t="shared" si="9"/>
        <v>6.1269462581617265E-2</v>
      </c>
      <c r="M99" s="356">
        <f>'NG Nat. Gas Therms Annual'!$O47</f>
        <v>0</v>
      </c>
      <c r="N99" s="410">
        <f>'NG Nat. Gas Cost Annual'!$O47</f>
        <v>0</v>
      </c>
      <c r="O99" s="410"/>
      <c r="P99" s="437"/>
      <c r="Q99" s="358">
        <f t="shared" si="7"/>
        <v>0</v>
      </c>
      <c r="R99" s="359">
        <f>M99*0.005*0.001*Reference!$I$12</f>
        <v>0</v>
      </c>
      <c r="S99" s="360">
        <f>M99*0.0001*0.001*Reference!$I$13</f>
        <v>0</v>
      </c>
      <c r="T99" s="358">
        <f>(J99*Reference!$F$11/1000)/2204.62</f>
        <v>22.577587067158966</v>
      </c>
      <c r="U99" s="359">
        <f>(J99/1000*Reference!$F$12)/2204.62*Reference!$I$12</f>
        <v>1.8828623889831354E-2</v>
      </c>
      <c r="V99" s="359">
        <f>(J99/1000*Reference!$F$13)/2204.62*Reference!$I$13</f>
        <v>0.12531102684362841</v>
      </c>
      <c r="W99" s="359">
        <f t="shared" si="8"/>
        <v>22.721726717892427</v>
      </c>
    </row>
    <row r="100" spans="1:23">
      <c r="A100" s="404" t="s">
        <v>617</v>
      </c>
      <c r="B100" s="372">
        <v>4153807100</v>
      </c>
      <c r="C100" s="470" t="s">
        <v>511</v>
      </c>
      <c r="D100" s="470" t="s">
        <v>581</v>
      </c>
      <c r="E100" s="366" t="s">
        <v>479</v>
      </c>
      <c r="F100" s="366" t="s">
        <v>679</v>
      </c>
      <c r="G100" s="366" t="s">
        <v>487</v>
      </c>
      <c r="H100" s="366" t="s">
        <v>450</v>
      </c>
      <c r="I100" s="367"/>
      <c r="J100" s="371">
        <f>'NG Elec KWH Annual'!$O62</f>
        <v>3908</v>
      </c>
      <c r="K100" s="409">
        <f>'NG Elec Cost Annual'!$O62</f>
        <v>510</v>
      </c>
      <c r="L100" s="409">
        <f t="shared" si="9"/>
        <v>0.13050153531218014</v>
      </c>
      <c r="M100" s="356">
        <f>'NG Nat. Gas Therms Annual'!$O62</f>
        <v>4100</v>
      </c>
      <c r="N100" s="410">
        <f>'NG Nat. Gas Cost Annual'!$O62</f>
        <v>3631.9500000000003</v>
      </c>
      <c r="O100" s="410">
        <f>N100/M100</f>
        <v>0.88584146341463421</v>
      </c>
      <c r="P100" s="437"/>
      <c r="Q100" s="358">
        <f t="shared" si="7"/>
        <v>21.738200000000003</v>
      </c>
      <c r="R100" s="359">
        <f>M100*0.005*0.001*Reference!$I$12</f>
        <v>0.43049999999999999</v>
      </c>
      <c r="S100" s="360">
        <f>M100*0.0001*0.001*Reference!$I$13</f>
        <v>0.12710000000000002</v>
      </c>
      <c r="T100" s="358">
        <f>(J100*Reference!$F$11/1000)/2204.62</f>
        <v>1.1079006812965499</v>
      </c>
      <c r="U100" s="359">
        <f>(J100/1000*Reference!$F$12)/2204.62*Reference!$I$12</f>
        <v>9.239359889686204E-4</v>
      </c>
      <c r="V100" s="359">
        <f>(J100/1000*Reference!$F$13)/2204.62*Reference!$I$13</f>
        <v>6.1491146773593637E-3</v>
      </c>
      <c r="W100" s="359">
        <f t="shared" si="8"/>
        <v>23.410773731962877</v>
      </c>
    </row>
    <row r="101" spans="1:23">
      <c r="A101" s="404" t="s">
        <v>617</v>
      </c>
      <c r="B101" s="372">
        <v>9953820104</v>
      </c>
      <c r="C101" s="470" t="s">
        <v>531</v>
      </c>
      <c r="D101" s="475" t="s">
        <v>582</v>
      </c>
      <c r="E101" s="366" t="s">
        <v>479</v>
      </c>
      <c r="F101" s="366" t="s">
        <v>1</v>
      </c>
      <c r="G101" s="366" t="s">
        <v>377</v>
      </c>
      <c r="H101" s="366" t="s">
        <v>439</v>
      </c>
      <c r="I101" s="367"/>
      <c r="J101" s="371">
        <f>'NG Elec KWH Annual'!$O96</f>
        <v>2078</v>
      </c>
      <c r="K101" s="409">
        <f>'NG Elec Cost Annual'!$O96</f>
        <v>377.2</v>
      </c>
      <c r="L101" s="409">
        <f t="shared" si="9"/>
        <v>0.18152069297401346</v>
      </c>
      <c r="M101" s="356">
        <f>'NG Nat. Gas Therms Annual'!$O96</f>
        <v>0</v>
      </c>
      <c r="N101" s="410">
        <f>'NG Nat. Gas Cost Annual'!$O96</f>
        <v>0</v>
      </c>
      <c r="O101" s="410"/>
      <c r="P101" s="437"/>
      <c r="Q101" s="358">
        <f t="shared" si="7"/>
        <v>0</v>
      </c>
      <c r="R101" s="359">
        <f>M101*0.005*0.001*Reference!$I$12</f>
        <v>0</v>
      </c>
      <c r="S101" s="360">
        <f>M101*0.0001*0.001*Reference!$I$13</f>
        <v>0</v>
      </c>
      <c r="T101" s="358">
        <f>(J101*Reference!$F$11/1000)/2204.62</f>
        <v>0.58910379112953715</v>
      </c>
      <c r="U101" s="359">
        <f>(J101/1000*Reference!$F$12)/2204.62*Reference!$I$12</f>
        <v>4.9128428482005961E-4</v>
      </c>
      <c r="V101" s="359">
        <f>(J101/1000*Reference!$F$13)/2204.62*Reference!$I$13</f>
        <v>3.2696674256788021E-3</v>
      </c>
      <c r="W101" s="359">
        <f t="shared" si="8"/>
        <v>0.59286474284003599</v>
      </c>
    </row>
    <row r="102" spans="1:23">
      <c r="A102" s="404" t="s">
        <v>617</v>
      </c>
      <c r="B102" s="372">
        <v>2217686007</v>
      </c>
      <c r="C102" s="470" t="s">
        <v>509</v>
      </c>
      <c r="D102" s="470" t="s">
        <v>582</v>
      </c>
      <c r="E102" s="366" t="s">
        <v>479</v>
      </c>
      <c r="F102" s="366" t="s">
        <v>1</v>
      </c>
      <c r="G102" s="366" t="s">
        <v>484</v>
      </c>
      <c r="H102" s="366" t="s">
        <v>437</v>
      </c>
      <c r="I102" s="367"/>
      <c r="J102" s="458">
        <f>'NG Elec KWH Annual'!$O44</f>
        <v>3213</v>
      </c>
      <c r="K102" s="459">
        <f>'NG Elec Cost Annual'!$O44</f>
        <v>694.71</v>
      </c>
      <c r="L102" s="409">
        <f t="shared" si="9"/>
        <v>0.216218487394958</v>
      </c>
      <c r="M102" s="356">
        <f>'NG Nat. Gas Therms Annual'!$O44</f>
        <v>0</v>
      </c>
      <c r="N102" s="410">
        <f>'NG Nat. Gas Cost Annual'!$O44</f>
        <v>0</v>
      </c>
      <c r="O102" s="410"/>
      <c r="P102" s="437"/>
      <c r="Q102" s="358">
        <f t="shared" si="7"/>
        <v>0</v>
      </c>
      <c r="R102" s="359">
        <f>M102*0.005*0.001*Reference!$I$12</f>
        <v>0</v>
      </c>
      <c r="S102" s="360">
        <f>M102*0.0001*0.001*Reference!$I$13</f>
        <v>0</v>
      </c>
      <c r="T102" s="358">
        <f>(J102*Reference!$F$11/1000)/2204.62</f>
        <v>0.91087126126044404</v>
      </c>
      <c r="U102" s="359">
        <f>(J102/1000*Reference!$F$12)/2204.62*Reference!$I$12</f>
        <v>7.5962291007066981E-4</v>
      </c>
      <c r="V102" s="359">
        <f>(J102/1000*Reference!$F$13)/2204.62*Reference!$I$13</f>
        <v>5.0555541090981674E-3</v>
      </c>
      <c r="W102" s="359">
        <f t="shared" si="8"/>
        <v>0.91668643827961294</v>
      </c>
    </row>
    <row r="103" spans="1:23">
      <c r="A103" s="404" t="s">
        <v>617</v>
      </c>
      <c r="B103" s="372">
        <v>3632395006</v>
      </c>
      <c r="C103" s="470" t="s">
        <v>516</v>
      </c>
      <c r="D103" s="470" t="s">
        <v>375</v>
      </c>
      <c r="E103" s="366" t="s">
        <v>479</v>
      </c>
      <c r="F103" s="366" t="s">
        <v>1</v>
      </c>
      <c r="G103" s="366" t="s">
        <v>486</v>
      </c>
      <c r="H103" s="366" t="s">
        <v>31</v>
      </c>
      <c r="I103" s="367" t="s">
        <v>597</v>
      </c>
      <c r="J103" s="458">
        <f>'NG Elec KWH Annual'!$O58</f>
        <v>108</v>
      </c>
      <c r="K103" s="459">
        <f>'NG Elec Cost Annual'!$O58</f>
        <v>255.52</v>
      </c>
      <c r="L103" s="409">
        <f t="shared" si="9"/>
        <v>2.365925925925926</v>
      </c>
      <c r="M103" s="356">
        <f>'NG Nat. Gas Therms Annual'!$O58</f>
        <v>0</v>
      </c>
      <c r="N103" s="410">
        <f>'NG Nat. Gas Cost Annual'!$O58</f>
        <v>0</v>
      </c>
      <c r="O103" s="410"/>
      <c r="P103" s="437"/>
      <c r="Q103" s="358">
        <f t="shared" si="7"/>
        <v>0</v>
      </c>
      <c r="R103" s="359">
        <f>M103*0.005*0.001*Reference!$I$12</f>
        <v>0</v>
      </c>
      <c r="S103" s="360">
        <f>M103*0.0001*0.001*Reference!$I$13</f>
        <v>0</v>
      </c>
      <c r="T103" s="358">
        <f>(J103*Reference!$F$11/1000)/2204.62</f>
        <v>3.0617521386905683E-2</v>
      </c>
      <c r="U103" s="359">
        <f>(J103/1000*Reference!$F$12)/2204.62*Reference!$I$12</f>
        <v>2.5533543195652766E-5</v>
      </c>
      <c r="V103" s="359">
        <f>(J103/1000*Reference!$F$13)/2204.62*Reference!$I$13</f>
        <v>1.6993459190245939E-4</v>
      </c>
      <c r="W103" s="359">
        <f t="shared" si="8"/>
        <v>3.0812989522003793E-2</v>
      </c>
    </row>
    <row r="104" spans="1:23">
      <c r="A104" s="404" t="s">
        <v>617</v>
      </c>
      <c r="B104" s="372">
        <v>5048811100</v>
      </c>
      <c r="C104" s="470" t="s">
        <v>524</v>
      </c>
      <c r="D104" s="470" t="s">
        <v>582</v>
      </c>
      <c r="E104" s="366" t="s">
        <v>479</v>
      </c>
      <c r="F104" s="366" t="s">
        <v>1</v>
      </c>
      <c r="G104" s="366" t="s">
        <v>491</v>
      </c>
      <c r="H104" s="366" t="s">
        <v>438</v>
      </c>
      <c r="I104" s="367"/>
      <c r="J104" s="458">
        <f>'NG Elec KWH Annual'!$O71</f>
        <v>2742</v>
      </c>
      <c r="K104" s="459">
        <f>'NG Elec Cost Annual'!$O71</f>
        <v>424.67</v>
      </c>
      <c r="L104" s="409">
        <f t="shared" si="9"/>
        <v>0.15487600291757841</v>
      </c>
      <c r="M104" s="356">
        <f>'NG Nat. Gas Therms Annual'!$O71</f>
        <v>0</v>
      </c>
      <c r="N104" s="410">
        <f>'NG Nat. Gas Cost Annual'!$O71</f>
        <v>0</v>
      </c>
      <c r="O104" s="410"/>
      <c r="P104" s="437"/>
      <c r="Q104" s="358">
        <f t="shared" si="7"/>
        <v>0</v>
      </c>
      <c r="R104" s="359">
        <f>M104*0.005*0.001*Reference!$I$12</f>
        <v>0</v>
      </c>
      <c r="S104" s="360">
        <f>M104*0.0001*0.001*Reference!$I$13</f>
        <v>0</v>
      </c>
      <c r="T104" s="358">
        <f>(J104*Reference!$F$11/1000)/2204.62</f>
        <v>0.77734484854532759</v>
      </c>
      <c r="U104" s="359">
        <f>(J104/1000*Reference!$F$12)/2204.62*Reference!$I$12</f>
        <v>6.4826829113407303E-4</v>
      </c>
      <c r="V104" s="359">
        <f>(J104/1000*Reference!$F$13)/2204.62*Reference!$I$13</f>
        <v>4.3144504721902193E-3</v>
      </c>
      <c r="W104" s="359">
        <f t="shared" si="8"/>
        <v>0.78230756730865192</v>
      </c>
    </row>
    <row r="105" spans="1:23">
      <c r="A105" s="404" t="s">
        <v>617</v>
      </c>
      <c r="B105" s="460">
        <v>5933814115</v>
      </c>
      <c r="C105" s="470" t="s">
        <v>527</v>
      </c>
      <c r="D105" s="470" t="s">
        <v>582</v>
      </c>
      <c r="E105" s="366" t="s">
        <v>479</v>
      </c>
      <c r="F105" s="366" t="s">
        <v>376</v>
      </c>
      <c r="G105" s="366" t="s">
        <v>351</v>
      </c>
      <c r="H105" s="366" t="s">
        <v>43</v>
      </c>
      <c r="I105" s="367"/>
      <c r="J105" s="458">
        <f>'NG Elec KWH Annual'!$O80</f>
        <v>98471</v>
      </c>
      <c r="K105" s="459">
        <f>'NG Elec Cost Annual'!$O80</f>
        <v>3329.23</v>
      </c>
      <c r="L105" s="409">
        <f t="shared" si="9"/>
        <v>3.3809243330523708E-2</v>
      </c>
      <c r="M105" s="356">
        <f>'NG Nat. Gas Therms Annual'!$O80</f>
        <v>0</v>
      </c>
      <c r="N105" s="410">
        <f>'NG Nat. Gas Cost Annual'!$O80</f>
        <v>0</v>
      </c>
      <c r="O105" s="410"/>
      <c r="P105" s="437"/>
      <c r="Q105" s="358">
        <f t="shared" si="7"/>
        <v>0</v>
      </c>
      <c r="R105" s="359">
        <f>M105*0.005*0.001*Reference!$I$12</f>
        <v>0</v>
      </c>
      <c r="S105" s="360">
        <f>M105*0.0001*0.001*Reference!$I$13</f>
        <v>0</v>
      </c>
      <c r="T105" s="358">
        <f>(J105*Reference!$F$11/1000)/2204.62</f>
        <v>27.916092115648048</v>
      </c>
      <c r="U105" s="359">
        <f>(J105/1000*Reference!$F$12)/2204.62*Reference!$I$12</f>
        <v>2.3280680852028918E-2</v>
      </c>
      <c r="V105" s="359">
        <f>(J105/1000*Reference!$F$13)/2204.62*Reference!$I$13</f>
        <v>0.15494101110395445</v>
      </c>
      <c r="W105" s="359">
        <f t="shared" si="8"/>
        <v>28.094313807604031</v>
      </c>
    </row>
    <row r="106" spans="1:23">
      <c r="A106" s="404" t="s">
        <v>617</v>
      </c>
      <c r="B106" s="372">
        <v>3293820115</v>
      </c>
      <c r="C106" s="470" t="s">
        <v>519</v>
      </c>
      <c r="D106" s="470" t="s">
        <v>582</v>
      </c>
      <c r="E106" s="366" t="s">
        <v>479</v>
      </c>
      <c r="F106" s="366" t="s">
        <v>376</v>
      </c>
      <c r="G106" s="366" t="s">
        <v>485</v>
      </c>
      <c r="H106" s="366" t="s">
        <v>458</v>
      </c>
      <c r="I106" s="367" t="s">
        <v>587</v>
      </c>
      <c r="J106" s="458">
        <f>'NG Elec KWH Annual'!$O56</f>
        <v>0</v>
      </c>
      <c r="K106" s="459">
        <f>'NG Elec Cost Annual'!$O56</f>
        <v>0</v>
      </c>
      <c r="L106" s="409"/>
      <c r="M106" s="356">
        <f>'NG Nat. Gas Therms Annual'!$O56</f>
        <v>487</v>
      </c>
      <c r="N106" s="410">
        <f>'NG Nat. Gas Cost Annual'!$O56</f>
        <v>450.68999999999994</v>
      </c>
      <c r="O106" s="410">
        <f>N106/M106</f>
        <v>0.92544147843942492</v>
      </c>
      <c r="P106" s="437"/>
      <c r="Q106" s="358">
        <f t="shared" si="7"/>
        <v>2.5820740000000004</v>
      </c>
      <c r="R106" s="359">
        <f>M106*0.005*0.001*Reference!$I$12</f>
        <v>5.1135E-2</v>
      </c>
      <c r="S106" s="360">
        <f>M106*0.0001*0.001*Reference!$I$13</f>
        <v>1.5096999999999999E-2</v>
      </c>
      <c r="T106" s="358">
        <f>(J106*Reference!$F$11/1000)/2204.62</f>
        <v>0</v>
      </c>
      <c r="U106" s="359">
        <f>(J106/1000*Reference!$F$12)/2204.62*Reference!$I$12</f>
        <v>0</v>
      </c>
      <c r="V106" s="359">
        <f>(J106/1000*Reference!$F$13)/2204.62*Reference!$I$13</f>
        <v>0</v>
      </c>
      <c r="W106" s="359">
        <f t="shared" si="8"/>
        <v>2.6483060000000003</v>
      </c>
    </row>
    <row r="107" spans="1:23">
      <c r="A107" s="404" t="s">
        <v>617</v>
      </c>
      <c r="B107" s="372">
        <v>5333812119</v>
      </c>
      <c r="C107" s="470" t="s">
        <v>525</v>
      </c>
      <c r="D107" s="470" t="s">
        <v>582</v>
      </c>
      <c r="E107" s="366" t="s">
        <v>479</v>
      </c>
      <c r="F107" s="366" t="s">
        <v>376</v>
      </c>
      <c r="G107" s="366" t="s">
        <v>483</v>
      </c>
      <c r="H107" s="366" t="s">
        <v>38</v>
      </c>
      <c r="I107" s="367"/>
      <c r="J107" s="458">
        <f>'NG Elec KWH Annual'!$O73</f>
        <v>4090</v>
      </c>
      <c r="K107" s="459">
        <f>'NG Elec Cost Annual'!$O73</f>
        <v>510.15999999999997</v>
      </c>
      <c r="L107" s="409">
        <f t="shared" si="9"/>
        <v>0.12473349633251833</v>
      </c>
      <c r="M107" s="356">
        <f>'NG Nat. Gas Therms Annual'!$O73</f>
        <v>0</v>
      </c>
      <c r="N107" s="410">
        <f>'NG Nat. Gas Cost Annual'!$O73</f>
        <v>0</v>
      </c>
      <c r="O107" s="410"/>
      <c r="P107" s="437"/>
      <c r="Q107" s="358">
        <f t="shared" si="7"/>
        <v>0</v>
      </c>
      <c r="R107" s="359">
        <f>M107*0.005*0.001*Reference!$I$12</f>
        <v>0</v>
      </c>
      <c r="S107" s="360">
        <f>M107*0.0001*0.001*Reference!$I$13</f>
        <v>0</v>
      </c>
      <c r="T107" s="358">
        <f>(J107*Reference!$F$11/1000)/2204.62</f>
        <v>1.159496874744854</v>
      </c>
      <c r="U107" s="359">
        <f>(J107/1000*Reference!$F$12)/2204.62*Reference!$I$12</f>
        <v>9.669647376872204E-4</v>
      </c>
      <c r="V107" s="359">
        <f>(J107/1000*Reference!$F$13)/2204.62*Reference!$I$13</f>
        <v>6.4354859340838792E-3</v>
      </c>
      <c r="W107" s="359">
        <f t="shared" si="8"/>
        <v>1.1668993254166251</v>
      </c>
    </row>
    <row r="108" spans="1:23">
      <c r="A108" s="404" t="s">
        <v>617</v>
      </c>
      <c r="B108" s="372">
        <v>1933810131</v>
      </c>
      <c r="C108" s="470" t="s">
        <v>535</v>
      </c>
      <c r="D108" s="470" t="s">
        <v>582</v>
      </c>
      <c r="E108" s="366" t="s">
        <v>479</v>
      </c>
      <c r="F108" s="366" t="s">
        <v>376</v>
      </c>
      <c r="G108" s="366" t="s">
        <v>483</v>
      </c>
      <c r="H108" s="366" t="s">
        <v>459</v>
      </c>
      <c r="I108" s="367" t="s">
        <v>588</v>
      </c>
      <c r="J108" s="458">
        <f>'NG Elec KWH Annual'!$O40</f>
        <v>45836</v>
      </c>
      <c r="K108" s="459">
        <f>'NG Elec Cost Annual'!$O40</f>
        <v>2226.64</v>
      </c>
      <c r="L108" s="409">
        <f t="shared" si="9"/>
        <v>4.8578409983419141E-2</v>
      </c>
      <c r="M108" s="356">
        <f>'NG Nat. Gas Therms Annual'!$O40</f>
        <v>2412</v>
      </c>
      <c r="N108" s="410">
        <f>'NG Nat. Gas Cost Annual'!$O40</f>
        <v>2352.98</v>
      </c>
      <c r="O108" s="410">
        <f>N108/M108</f>
        <v>0.97553067993366505</v>
      </c>
      <c r="P108" s="437"/>
      <c r="Q108" s="358">
        <f t="shared" si="7"/>
        <v>12.788424000000001</v>
      </c>
      <c r="R108" s="359">
        <f>M108*0.005*0.001*Reference!$I$12</f>
        <v>0.25326000000000004</v>
      </c>
      <c r="S108" s="360">
        <f>M108*0.0001*0.001*Reference!$I$13</f>
        <v>7.4772000000000005E-2</v>
      </c>
      <c r="T108" s="358">
        <f>(J108*Reference!$F$11/1000)/2204.62</f>
        <v>12.994302873057489</v>
      </c>
      <c r="U108" s="359">
        <f>(J108/1000*Reference!$F$12)/2204.62*Reference!$I$12</f>
        <v>1.0836624869592037E-2</v>
      </c>
      <c r="V108" s="359">
        <f>(J108/1000*Reference!$F$13)/2204.62*Reference!$I$13</f>
        <v>7.2121499578158596E-2</v>
      </c>
      <c r="W108" s="359">
        <f t="shared" si="8"/>
        <v>26.193716997505241</v>
      </c>
    </row>
    <row r="109" spans="1:23" ht="15" thickBot="1">
      <c r="W109" s="494"/>
    </row>
    <row r="110" spans="1:23" ht="15" thickBot="1">
      <c r="I110" s="476" t="s">
        <v>638</v>
      </c>
      <c r="J110" s="477">
        <f>SUM(J15:J109)</f>
        <v>1787173</v>
      </c>
      <c r="K110" s="478">
        <f>SUM(K15:K109)</f>
        <v>255609.53912579833</v>
      </c>
      <c r="L110" s="578"/>
      <c r="M110" s="479">
        <f t="shared" ref="M110:N110" si="11">SUM(M15:M109)</f>
        <v>42215</v>
      </c>
      <c r="N110" s="480">
        <f t="shared" si="11"/>
        <v>25734.979999999996</v>
      </c>
      <c r="O110" s="578"/>
      <c r="Q110" s="482">
        <f>SUM(Q15:Q109)</f>
        <v>223.82393000000002</v>
      </c>
      <c r="R110" s="483">
        <f t="shared" ref="R110:U110" si="12">SUM(R15:R109)</f>
        <v>4.4325750000000008</v>
      </c>
      <c r="S110" s="484">
        <f t="shared" si="12"/>
        <v>1.308665</v>
      </c>
      <c r="T110" s="482">
        <f t="shared" si="12"/>
        <v>506.65562545926286</v>
      </c>
      <c r="U110" s="483">
        <f t="shared" si="12"/>
        <v>0.4225264721630031</v>
      </c>
      <c r="V110" s="484">
        <f>SUM(V15:V109)</f>
        <v>2.8120603186490194</v>
      </c>
    </row>
    <row r="111" spans="1:23">
      <c r="I111" s="551" t="s">
        <v>684</v>
      </c>
      <c r="J111" s="552">
        <v>1615714</v>
      </c>
      <c r="K111" s="550">
        <v>231086.7</v>
      </c>
      <c r="L111" s="550"/>
    </row>
    <row r="112" spans="1:23">
      <c r="I112" s="355" t="s">
        <v>696</v>
      </c>
      <c r="J112" s="577">
        <f>K111/J111</f>
        <v>0.14302450805031089</v>
      </c>
      <c r="R112" s="476" t="s">
        <v>666</v>
      </c>
      <c r="S112" s="481">
        <f>Q110+R110+S110</f>
        <v>229.56517000000002</v>
      </c>
      <c r="U112" s="476" t="s">
        <v>667</v>
      </c>
      <c r="V112" s="481">
        <f>T110+U110+V110</f>
        <v>509.89021225007485</v>
      </c>
    </row>
    <row r="113" spans="9:12">
      <c r="J113" s="355"/>
      <c r="K113" s="558"/>
      <c r="L113" s="558"/>
    </row>
    <row r="114" spans="9:12">
      <c r="I114" s="355"/>
      <c r="J114" s="550"/>
    </row>
  </sheetData>
  <autoFilter ref="A14:N108">
    <sortState ref="A15:M108">
      <sortCondition ref="E14:E108"/>
    </sortState>
  </autoFilter>
  <sortState ref="A15:Y108">
    <sortCondition ref="E15:E108"/>
    <sortCondition ref="F15:F108"/>
  </sortState>
  <mergeCells count="5">
    <mergeCell ref="Q13:W13"/>
    <mergeCell ref="A13:B13"/>
    <mergeCell ref="J13:L13"/>
    <mergeCell ref="M13:O13"/>
    <mergeCell ref="E13:I13"/>
  </mergeCells>
  <phoneticPr fontId="7" type="noConversion"/>
  <dataValidations count="1">
    <dataValidation type="list" allowBlank="1" showInputMessage="1" showErrorMessage="1" sqref="F15:F108">
      <formula1>INDIRECT($E15)</formula1>
    </dataValidation>
  </dataValidations>
  <pageMargins left="0.7" right="0.7" top="0.75" bottom="0.75" header="0.3" footer="0.3"/>
  <pageSetup orientation="portrait" horizontalDpi="4294967292" verticalDpi="4294967292"/>
  <ignoredErrors>
    <ignoredError sqref="Q110:V110" emptyCellReference="1"/>
  </ignoredErrors>
  <extLst>
    <ext xmlns:x14="http://schemas.microsoft.com/office/spreadsheetml/2009/9/main" uri="{CCE6A557-97BC-4b89-ADB6-D9C93CAAB3DF}">
      <x14:dataValidations xmlns:xm="http://schemas.microsoft.com/office/excel/2006/main" count="4">
        <x14:dataValidation type="list" allowBlank="1" showInputMessage="1" showErrorMessage="1">
          <x14:formula1>
            <xm:f>'Town Categories'!$D$4:$D$10</xm:f>
          </x14:formula1>
          <xm:sqref>E16:E108</xm:sqref>
        </x14:dataValidation>
        <x14:dataValidation type="list" showInputMessage="1" showErrorMessage="1">
          <x14:formula1>
            <xm:f>'Town Categories'!$D$4:$D$10</xm:f>
          </x14:formula1>
          <xm:sqref>E15</xm:sqref>
        </x14:dataValidation>
        <x14:dataValidation type="list" showInputMessage="1" showErrorMessage="1">
          <x14:formula1>
            <xm:f>'Town Categories'!$D$18:$D$29</xm:f>
          </x14:formula1>
          <xm:sqref>D15:D108</xm:sqref>
        </x14:dataValidation>
        <x14:dataValidation type="list" showInputMessage="1" showErrorMessage="1">
          <x14:formula1>
            <xm:f>'Town Categories'!$J$4:$J$32</xm:f>
          </x14:formula1>
          <xm:sqref>G15:G108</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Q20"/>
  <sheetViews>
    <sheetView workbookViewId="0">
      <selection activeCell="C9" sqref="C9"/>
    </sheetView>
  </sheetViews>
  <sheetFormatPr baseColWidth="10" defaultColWidth="8.83203125" defaultRowHeight="14" x14ac:dyDescent="0"/>
  <cols>
    <col min="1" max="1" width="3.1640625" customWidth="1"/>
    <col min="2" max="2" width="15.83203125" customWidth="1"/>
    <col min="3" max="3" width="19.5" customWidth="1"/>
    <col min="4" max="4" width="14.6640625" customWidth="1"/>
    <col min="5" max="6" width="15.5" customWidth="1"/>
    <col min="7" max="7" width="13" customWidth="1"/>
    <col min="8" max="8" width="13.1640625" customWidth="1"/>
    <col min="9" max="9" width="2.83203125" customWidth="1"/>
  </cols>
  <sheetData>
    <row r="7" spans="2:17">
      <c r="B7" s="701" t="s">
        <v>415</v>
      </c>
      <c r="C7" s="701"/>
      <c r="D7" s="701"/>
      <c r="E7" s="702" t="s">
        <v>416</v>
      </c>
      <c r="F7" s="702"/>
      <c r="G7" s="702"/>
      <c r="H7" s="702"/>
      <c r="I7" s="23"/>
      <c r="J7" s="703" t="s">
        <v>345</v>
      </c>
      <c r="K7" s="703"/>
      <c r="L7" s="703"/>
      <c r="M7" s="703"/>
      <c r="N7" s="703"/>
      <c r="O7" s="703"/>
      <c r="P7" s="703"/>
      <c r="Q7" s="703"/>
    </row>
    <row r="8" spans="2:17" ht="28">
      <c r="B8" s="563" t="s">
        <v>685</v>
      </c>
      <c r="C8" s="563" t="s">
        <v>693</v>
      </c>
      <c r="D8" s="563" t="s">
        <v>371</v>
      </c>
      <c r="E8" s="567" t="s">
        <v>689</v>
      </c>
      <c r="F8" s="567" t="s">
        <v>691</v>
      </c>
      <c r="G8" s="560" t="s">
        <v>690</v>
      </c>
      <c r="H8" s="560" t="s">
        <v>692</v>
      </c>
      <c r="I8" s="6"/>
      <c r="J8" s="564" t="s">
        <v>387</v>
      </c>
      <c r="K8" s="564" t="s">
        <v>388</v>
      </c>
      <c r="L8" s="564" t="s">
        <v>389</v>
      </c>
      <c r="M8" s="564" t="s">
        <v>390</v>
      </c>
      <c r="N8" s="564" t="s">
        <v>412</v>
      </c>
      <c r="O8" s="564" t="s">
        <v>413</v>
      </c>
      <c r="P8" s="564" t="s">
        <v>414</v>
      </c>
      <c r="Q8" s="564" t="s">
        <v>390</v>
      </c>
    </row>
    <row r="9" spans="2:17">
      <c r="B9" s="366" t="s">
        <v>479</v>
      </c>
      <c r="C9" s="366"/>
      <c r="D9" s="561"/>
      <c r="E9" s="19"/>
      <c r="F9" s="19"/>
      <c r="G9" s="22"/>
      <c r="H9" s="22"/>
      <c r="J9" s="565">
        <f>E9*10.2/1000</f>
        <v>0</v>
      </c>
      <c r="K9" s="565">
        <f>E9*0.0015/1000*Reference!I12</f>
        <v>0</v>
      </c>
      <c r="L9" s="565">
        <f>E9*0.0001/1000*Reference!I13</f>
        <v>0</v>
      </c>
      <c r="M9" s="565">
        <f t="shared" ref="M9" si="0">SUM(B9:L9)</f>
        <v>0</v>
      </c>
      <c r="N9" s="565"/>
      <c r="O9" s="565"/>
      <c r="P9" s="565"/>
      <c r="Q9" s="565"/>
    </row>
    <row r="10" spans="2:17">
      <c r="B10" s="366" t="s">
        <v>479</v>
      </c>
      <c r="C10" s="366"/>
      <c r="D10" s="561"/>
      <c r="E10" s="19"/>
      <c r="F10" s="19"/>
      <c r="G10" s="22"/>
      <c r="H10" s="22"/>
      <c r="J10" s="565">
        <f t="shared" ref="J10:J20" si="1">E10*10.2/1000</f>
        <v>0</v>
      </c>
      <c r="K10" s="565">
        <f>E10*0.0015/1000*Reference!I13</f>
        <v>0</v>
      </c>
      <c r="L10" s="565">
        <f>E10*0.0001/1000*Reference!I14</f>
        <v>0</v>
      </c>
      <c r="M10" s="565">
        <f t="shared" ref="M10:M20" si="2">SUM(B10:L10)</f>
        <v>0</v>
      </c>
      <c r="N10" s="566"/>
      <c r="O10" s="566"/>
      <c r="P10" s="566"/>
      <c r="Q10" s="566"/>
    </row>
    <row r="11" spans="2:17">
      <c r="B11" s="366" t="s">
        <v>479</v>
      </c>
      <c r="C11" s="366"/>
      <c r="D11" s="561"/>
      <c r="E11" s="19"/>
      <c r="F11" s="19"/>
      <c r="G11" s="22"/>
      <c r="H11" s="22"/>
      <c r="J11" s="565">
        <f t="shared" si="1"/>
        <v>0</v>
      </c>
      <c r="K11" s="565">
        <f>E11*0.0015/1000*Reference!I14</f>
        <v>0</v>
      </c>
      <c r="L11" s="565">
        <f>E11*0.0001/1000*Reference!I15</f>
        <v>0</v>
      </c>
      <c r="M11" s="565">
        <f t="shared" si="2"/>
        <v>0</v>
      </c>
      <c r="N11" s="566"/>
      <c r="O11" s="566"/>
      <c r="P11" s="566"/>
      <c r="Q11" s="566"/>
    </row>
    <row r="12" spans="2:17">
      <c r="B12" s="366" t="s">
        <v>479</v>
      </c>
      <c r="C12" s="366"/>
      <c r="D12" s="561"/>
      <c r="E12" s="19"/>
      <c r="F12" s="19"/>
      <c r="G12" s="22"/>
      <c r="H12" s="22"/>
      <c r="J12" s="565">
        <f t="shared" si="1"/>
        <v>0</v>
      </c>
      <c r="K12" s="565">
        <f>E12*0.0015/1000*Reference!I15</f>
        <v>0</v>
      </c>
      <c r="L12" s="565">
        <f>E12*0.0001/1000*Reference!I16</f>
        <v>0</v>
      </c>
      <c r="M12" s="565">
        <f t="shared" si="2"/>
        <v>0</v>
      </c>
      <c r="N12" s="566"/>
      <c r="O12" s="566"/>
      <c r="P12" s="566"/>
      <c r="Q12" s="566"/>
    </row>
    <row r="13" spans="2:17">
      <c r="B13" s="366" t="s">
        <v>479</v>
      </c>
      <c r="C13" s="366"/>
      <c r="D13" s="561"/>
      <c r="E13" s="19"/>
      <c r="F13" s="19"/>
      <c r="G13" s="22"/>
      <c r="H13" s="22"/>
      <c r="J13" s="565">
        <f t="shared" si="1"/>
        <v>0</v>
      </c>
      <c r="K13" s="565">
        <f>E13*0.0015/1000*Reference!I16</f>
        <v>0</v>
      </c>
      <c r="L13" s="565">
        <f>E13*0.0001/1000*Reference!I17</f>
        <v>0</v>
      </c>
      <c r="M13" s="565">
        <f t="shared" si="2"/>
        <v>0</v>
      </c>
      <c r="N13" s="566"/>
      <c r="O13" s="566"/>
      <c r="P13" s="566"/>
      <c r="Q13" s="566"/>
    </row>
    <row r="14" spans="2:17">
      <c r="B14" s="366" t="s">
        <v>479</v>
      </c>
      <c r="C14" s="366"/>
      <c r="D14" s="561"/>
      <c r="E14" s="19"/>
      <c r="F14" s="19"/>
      <c r="G14" s="22"/>
      <c r="H14" s="22"/>
      <c r="J14" s="565">
        <f t="shared" si="1"/>
        <v>0</v>
      </c>
      <c r="K14" s="565">
        <f>E14*0.0015/1000*Reference!I17</f>
        <v>0</v>
      </c>
      <c r="L14" s="565">
        <f>E14*0.0001/1000*Reference!I18</f>
        <v>0</v>
      </c>
      <c r="M14" s="565">
        <f t="shared" si="2"/>
        <v>0</v>
      </c>
      <c r="N14" s="566"/>
      <c r="O14" s="566"/>
      <c r="P14" s="566"/>
      <c r="Q14" s="566"/>
    </row>
    <row r="15" spans="2:17">
      <c r="B15" s="366" t="s">
        <v>479</v>
      </c>
      <c r="C15" s="366"/>
      <c r="D15" s="561"/>
      <c r="E15" s="19"/>
      <c r="F15" s="19"/>
      <c r="G15" s="22"/>
      <c r="H15" s="22"/>
      <c r="J15" s="565">
        <f t="shared" si="1"/>
        <v>0</v>
      </c>
      <c r="K15" s="565">
        <f>E15*0.0015/1000*Reference!I18</f>
        <v>0</v>
      </c>
      <c r="L15" s="565">
        <f>E15*0.0001/1000*Reference!I19</f>
        <v>0</v>
      </c>
      <c r="M15" s="565">
        <f t="shared" si="2"/>
        <v>0</v>
      </c>
      <c r="N15" s="566"/>
      <c r="O15" s="566"/>
      <c r="P15" s="566"/>
      <c r="Q15" s="566"/>
    </row>
    <row r="16" spans="2:17">
      <c r="B16" s="366" t="s">
        <v>479</v>
      </c>
      <c r="C16" s="366"/>
      <c r="D16" s="561"/>
      <c r="E16" s="19"/>
      <c r="F16" s="19"/>
      <c r="G16" s="22"/>
      <c r="H16" s="22"/>
      <c r="J16" s="565">
        <f t="shared" si="1"/>
        <v>0</v>
      </c>
      <c r="K16" s="565">
        <f>E16*0.0015/1000*Reference!I19</f>
        <v>0</v>
      </c>
      <c r="L16" s="565">
        <f>E16*0.0001/1000*Reference!I20</f>
        <v>0</v>
      </c>
      <c r="M16" s="565">
        <f t="shared" si="2"/>
        <v>0</v>
      </c>
      <c r="N16" s="566"/>
      <c r="O16" s="566"/>
      <c r="P16" s="566"/>
      <c r="Q16" s="566"/>
    </row>
    <row r="17" spans="2:17">
      <c r="B17" s="366" t="s">
        <v>479</v>
      </c>
      <c r="C17" s="366"/>
      <c r="D17" s="562"/>
      <c r="E17" s="19"/>
      <c r="F17" s="19"/>
      <c r="G17" s="22"/>
      <c r="H17" s="22"/>
      <c r="J17" s="565">
        <f t="shared" si="1"/>
        <v>0</v>
      </c>
      <c r="K17" s="565">
        <f>E17*0.0015/1000*Reference!I20</f>
        <v>0</v>
      </c>
      <c r="L17" s="565">
        <f>E17*0.0001/1000*Reference!I21</f>
        <v>0</v>
      </c>
      <c r="M17" s="565">
        <f t="shared" si="2"/>
        <v>0</v>
      </c>
      <c r="N17" s="566"/>
      <c r="O17" s="566"/>
      <c r="P17" s="566"/>
      <c r="Q17" s="566"/>
    </row>
    <row r="18" spans="2:17">
      <c r="B18" s="366" t="s">
        <v>479</v>
      </c>
      <c r="C18" s="366"/>
      <c r="D18" s="561"/>
      <c r="E18" s="19"/>
      <c r="F18" s="19"/>
      <c r="G18" s="22"/>
      <c r="H18" s="22"/>
      <c r="J18" s="565">
        <f t="shared" si="1"/>
        <v>0</v>
      </c>
      <c r="K18" s="565">
        <f>E18*0.0015/1000*Reference!I21</f>
        <v>0</v>
      </c>
      <c r="L18" s="565">
        <f>E18*0.0001/1000*Reference!I22</f>
        <v>0</v>
      </c>
      <c r="M18" s="565">
        <f t="shared" si="2"/>
        <v>0</v>
      </c>
      <c r="N18" s="566"/>
      <c r="O18" s="566"/>
      <c r="P18" s="566"/>
      <c r="Q18" s="566"/>
    </row>
    <row r="19" spans="2:17">
      <c r="B19" s="366" t="s">
        <v>479</v>
      </c>
      <c r="C19" s="366"/>
      <c r="D19" s="561"/>
      <c r="E19" s="19"/>
      <c r="F19" s="19"/>
      <c r="G19" s="22"/>
      <c r="H19" s="22"/>
      <c r="J19" s="565">
        <f t="shared" si="1"/>
        <v>0</v>
      </c>
      <c r="K19" s="565">
        <f>E19*0.0015/1000*Reference!I22</f>
        <v>0</v>
      </c>
      <c r="L19" s="565">
        <f>E19*0.0001/1000*Reference!I23</f>
        <v>0</v>
      </c>
      <c r="M19" s="565">
        <f t="shared" si="2"/>
        <v>0</v>
      </c>
      <c r="N19" s="566"/>
      <c r="O19" s="566"/>
      <c r="P19" s="566"/>
      <c r="Q19" s="566"/>
    </row>
    <row r="20" spans="2:17">
      <c r="B20" s="366" t="s">
        <v>479</v>
      </c>
      <c r="C20" s="366"/>
      <c r="D20" s="561"/>
      <c r="E20" s="19"/>
      <c r="F20" s="19"/>
      <c r="G20" s="22"/>
      <c r="H20" s="22"/>
      <c r="J20" s="565">
        <f t="shared" si="1"/>
        <v>0</v>
      </c>
      <c r="K20" s="565">
        <f>E20*0.0015/1000*Reference!I23</f>
        <v>0</v>
      </c>
      <c r="L20" s="565">
        <f>E20*0.0001/1000*Reference!I24</f>
        <v>0</v>
      </c>
      <c r="M20" s="565">
        <f t="shared" si="2"/>
        <v>0</v>
      </c>
      <c r="N20" s="566"/>
      <c r="O20" s="566"/>
      <c r="P20" s="566"/>
      <c r="Q20" s="566"/>
    </row>
  </sheetData>
  <mergeCells count="3">
    <mergeCell ref="B7:D7"/>
    <mergeCell ref="E7:H7"/>
    <mergeCell ref="J7:Q7"/>
  </mergeCells>
  <phoneticPr fontId="7" type="noConversion"/>
  <dataValidations count="1">
    <dataValidation type="list" allowBlank="1" showInputMessage="1" showErrorMessage="1" sqref="C9:C20">
      <formula1>INDIRECT($B9)</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showInputMessage="1" showErrorMessage="1">
          <x14:formula1>
            <xm:f>'Town Categories'!$D$4:$D$10</xm:f>
          </x14:formula1>
          <xm:sqref>B9:B20</xm:sqref>
        </x14:dataValidation>
        <x14:dataValidation type="list" allowBlank="1" showInputMessage="1" showErrorMessage="1">
          <x14:formula1>
            <xm:f>'Town Categories'!$J$4:$J$28</xm:f>
          </x14:formula1>
          <xm:sqref>D9:D20</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5"/>
  <sheetViews>
    <sheetView workbookViewId="0">
      <selection activeCell="C15" sqref="C15"/>
    </sheetView>
  </sheetViews>
  <sheetFormatPr baseColWidth="10" defaultColWidth="8.83203125" defaultRowHeight="14" x14ac:dyDescent="0"/>
  <cols>
    <col min="1" max="1" width="3.33203125" customWidth="1"/>
    <col min="2" max="2" width="23.33203125" customWidth="1"/>
    <col min="3" max="10" width="14.1640625" customWidth="1"/>
    <col min="11" max="11" width="13.33203125" customWidth="1"/>
    <col min="12" max="12" width="17.83203125" customWidth="1"/>
  </cols>
  <sheetData>
    <row r="1" spans="2:10">
      <c r="B1" s="7"/>
      <c r="C1" s="8"/>
      <c r="D1" s="8"/>
      <c r="E1" s="9"/>
      <c r="F1" s="9"/>
      <c r="G1" s="9"/>
      <c r="H1" s="8"/>
      <c r="I1" s="8"/>
      <c r="J1" s="8"/>
    </row>
    <row r="2" spans="2:10">
      <c r="B2" s="7"/>
      <c r="C2" s="8"/>
      <c r="D2" s="8"/>
      <c r="E2" s="9"/>
      <c r="F2" s="9"/>
      <c r="G2" s="9"/>
      <c r="H2" s="8"/>
      <c r="I2" s="8"/>
      <c r="J2" s="8"/>
    </row>
    <row r="3" spans="2:10">
      <c r="B3" s="1"/>
      <c r="C3" s="10"/>
      <c r="D3" s="10"/>
      <c r="E3" s="11"/>
      <c r="F3" s="11"/>
      <c r="G3" s="9"/>
      <c r="H3" s="8"/>
      <c r="I3" s="8"/>
      <c r="J3" s="8"/>
    </row>
    <row r="4" spans="2:10">
      <c r="B4" s="1"/>
      <c r="C4" s="10"/>
      <c r="D4" s="10"/>
      <c r="E4" s="11"/>
      <c r="F4" s="11"/>
      <c r="G4" s="9"/>
      <c r="H4" s="8"/>
      <c r="I4" s="8"/>
      <c r="J4" s="8"/>
    </row>
    <row r="5" spans="2:10">
      <c r="B5" s="1"/>
      <c r="C5" s="10"/>
      <c r="D5" s="10"/>
      <c r="E5" s="11"/>
      <c r="F5" s="11"/>
      <c r="G5" s="9"/>
      <c r="H5" s="8"/>
      <c r="I5" s="8"/>
      <c r="J5" s="8"/>
    </row>
    <row r="6" spans="2:10">
      <c r="B6" s="1"/>
      <c r="C6" s="10"/>
      <c r="D6" s="10"/>
      <c r="E6" s="11"/>
      <c r="F6" s="11"/>
      <c r="G6" s="9"/>
      <c r="H6" s="8"/>
      <c r="I6" s="8"/>
      <c r="J6" s="8"/>
    </row>
    <row r="7" spans="2:10">
      <c r="B7" s="1"/>
      <c r="C7" s="10"/>
      <c r="D7" s="10"/>
      <c r="E7" s="11"/>
      <c r="F7" s="11"/>
      <c r="G7" s="9"/>
      <c r="H7" s="8"/>
      <c r="I7" s="8"/>
      <c r="J7" s="8"/>
    </row>
    <row r="8" spans="2:10">
      <c r="B8" s="1"/>
      <c r="C8" s="10"/>
      <c r="D8" s="10"/>
      <c r="E8" s="11"/>
      <c r="F8" s="11"/>
      <c r="G8" s="9"/>
      <c r="H8" s="8"/>
      <c r="I8" s="8"/>
      <c r="J8" s="8"/>
    </row>
    <row r="9" spans="2:10">
      <c r="B9" s="1"/>
      <c r="C9" s="10"/>
      <c r="D9" s="10"/>
      <c r="E9" s="11"/>
      <c r="F9" s="11"/>
      <c r="G9" s="9"/>
      <c r="H9" s="8"/>
      <c r="I9" s="8"/>
      <c r="J9" s="8"/>
    </row>
    <row r="10" spans="2:10">
      <c r="B10" s="1"/>
      <c r="C10" s="10"/>
      <c r="D10" s="10"/>
      <c r="E10" s="11"/>
      <c r="F10" s="11"/>
      <c r="G10" s="9"/>
      <c r="H10" s="8"/>
      <c r="I10" s="8"/>
      <c r="J10" s="8"/>
    </row>
    <row r="11" spans="2:10" ht="62" customHeight="1">
      <c r="B11" s="1"/>
      <c r="C11" s="10"/>
      <c r="D11" s="10"/>
      <c r="E11" s="11"/>
      <c r="F11" s="11"/>
      <c r="G11" s="9"/>
      <c r="H11" s="8"/>
      <c r="I11" s="8"/>
      <c r="J11" s="8"/>
    </row>
    <row r="12" spans="2:10" s="12" customFormat="1">
      <c r="B12" s="12" t="s">
        <v>346</v>
      </c>
      <c r="C12" s="13"/>
      <c r="D12" s="13"/>
      <c r="E12" s="14"/>
      <c r="F12" s="14"/>
      <c r="G12" s="14"/>
      <c r="H12" s="13"/>
      <c r="I12" s="13"/>
      <c r="J12" s="13"/>
    </row>
    <row r="13" spans="2:10">
      <c r="C13" s="8"/>
      <c r="D13" s="8"/>
      <c r="E13" s="9"/>
      <c r="F13" s="9"/>
      <c r="G13" s="9"/>
      <c r="H13" s="8"/>
      <c r="I13" s="8"/>
      <c r="J13" s="8"/>
    </row>
    <row r="14" spans="2:10" ht="28">
      <c r="B14" s="485" t="s">
        <v>347</v>
      </c>
      <c r="C14" s="486" t="s">
        <v>348</v>
      </c>
      <c r="D14" s="486" t="s">
        <v>349</v>
      </c>
      <c r="E14" s="487" t="s">
        <v>366</v>
      </c>
      <c r="F14" s="487" t="s">
        <v>411</v>
      </c>
      <c r="G14" s="488" t="s">
        <v>433</v>
      </c>
      <c r="H14" s="486" t="s">
        <v>434</v>
      </c>
      <c r="I14" s="486" t="s">
        <v>435</v>
      </c>
      <c r="J14" s="486" t="s">
        <v>436</v>
      </c>
    </row>
    <row r="15" spans="2:10">
      <c r="B15" s="15" t="s">
        <v>363</v>
      </c>
      <c r="C15" s="16">
        <v>60085</v>
      </c>
      <c r="D15" s="16">
        <v>39923</v>
      </c>
      <c r="E15" s="16"/>
      <c r="F15" s="16"/>
      <c r="G15" s="16">
        <f>E15+F15</f>
        <v>0</v>
      </c>
      <c r="H15" s="16">
        <f>C15*8.78</f>
        <v>527546.29999999993</v>
      </c>
      <c r="I15" s="16">
        <f>D15*10.21</f>
        <v>407613.83</v>
      </c>
      <c r="J15" s="16">
        <f>(H15+I15)/1000</f>
        <v>935.16012999999987</v>
      </c>
    </row>
    <row r="16" spans="2:10">
      <c r="B16" s="15" t="s">
        <v>364</v>
      </c>
      <c r="C16" s="16">
        <f>SUM(C12:C14)</f>
        <v>0</v>
      </c>
      <c r="D16" s="16">
        <f t="shared" ref="D16" si="0">SUM(D12:D14)</f>
        <v>0</v>
      </c>
      <c r="E16" s="16">
        <f>C16*2.5</f>
        <v>0</v>
      </c>
      <c r="F16" s="16">
        <f>D16*3.22</f>
        <v>0</v>
      </c>
      <c r="G16" s="16">
        <f t="shared" ref="G16:G17" si="1">E16+F16</f>
        <v>0</v>
      </c>
      <c r="H16" s="16">
        <f t="shared" ref="H16" si="2">C16*8.78</f>
        <v>0</v>
      </c>
      <c r="I16" s="16">
        <f t="shared" ref="I16:I17" si="3">D16*10.21</f>
        <v>0</v>
      </c>
      <c r="J16" s="16">
        <f t="shared" ref="J16:J17" si="4">(H16+I16)/1000</f>
        <v>0</v>
      </c>
    </row>
    <row r="17" spans="2:10">
      <c r="B17" s="15" t="s">
        <v>701</v>
      </c>
      <c r="C17" s="16">
        <f>C15-C16</f>
        <v>60085</v>
      </c>
      <c r="D17" s="16">
        <f t="shared" ref="D17" si="5">D15-D16</f>
        <v>39923</v>
      </c>
      <c r="E17" s="16">
        <v>170777</v>
      </c>
      <c r="F17" s="16">
        <v>119616</v>
      </c>
      <c r="G17" s="20">
        <f t="shared" si="1"/>
        <v>290393</v>
      </c>
      <c r="H17" s="16">
        <f>C17*8.78</f>
        <v>527546.29999999993</v>
      </c>
      <c r="I17" s="16">
        <f t="shared" si="3"/>
        <v>407613.83</v>
      </c>
      <c r="J17" s="16">
        <f t="shared" si="4"/>
        <v>935.16012999999987</v>
      </c>
    </row>
    <row r="18" spans="2:10">
      <c r="B18" s="491" t="s">
        <v>365</v>
      </c>
      <c r="C18" s="16"/>
      <c r="D18" s="16"/>
      <c r="E18" s="17"/>
      <c r="F18" s="17"/>
      <c r="G18" s="17"/>
      <c r="H18" s="16"/>
      <c r="I18" s="16"/>
      <c r="J18" s="16">
        <f>J17*0.012</f>
        <v>11.221921559999998</v>
      </c>
    </row>
    <row r="19" spans="2:10">
      <c r="B19" s="492" t="s">
        <v>609</v>
      </c>
      <c r="C19" s="16"/>
      <c r="D19" s="16"/>
      <c r="E19" s="17"/>
      <c r="F19" s="17"/>
      <c r="G19" s="17"/>
      <c r="H19" s="16"/>
      <c r="I19" s="16"/>
      <c r="J19" s="20">
        <f>J17+J18</f>
        <v>946.38205155999981</v>
      </c>
    </row>
    <row r="20" spans="2:10" ht="42">
      <c r="B20" s="594" t="s">
        <v>702</v>
      </c>
      <c r="C20" s="8"/>
      <c r="D20" s="8"/>
      <c r="E20" s="9"/>
      <c r="F20" s="9"/>
      <c r="G20" s="9"/>
      <c r="H20" s="668" t="s">
        <v>668</v>
      </c>
      <c r="I20" s="668" t="s">
        <v>669</v>
      </c>
      <c r="J20" s="8"/>
    </row>
    <row r="21" spans="2:10" s="21" customFormat="1">
      <c r="C21" s="423"/>
      <c r="D21" s="423"/>
      <c r="E21" s="424"/>
      <c r="F21" s="424"/>
      <c r="G21" s="424"/>
      <c r="H21" s="669">
        <f>H17/1000</f>
        <v>527.54629999999997</v>
      </c>
      <c r="I21" s="669">
        <f>I17/1000</f>
        <v>407.61383000000001</v>
      </c>
      <c r="J21" s="493"/>
    </row>
    <row r="22" spans="2:10" s="425" customFormat="1" ht="42">
      <c r="C22" s="426"/>
      <c r="D22" s="426"/>
      <c r="E22" s="427"/>
      <c r="F22" s="427"/>
      <c r="G22" s="427"/>
      <c r="H22" s="670" t="s">
        <v>673</v>
      </c>
      <c r="I22" s="670" t="s">
        <v>672</v>
      </c>
      <c r="J22" s="426"/>
    </row>
    <row r="23" spans="2:10" s="425" customFormat="1">
      <c r="B23" s="428"/>
      <c r="C23" s="429"/>
      <c r="D23" s="429"/>
      <c r="E23" s="430"/>
      <c r="F23" s="430"/>
      <c r="G23" s="21"/>
      <c r="H23" s="671">
        <f>H21*0.012</f>
        <v>6.3305555999999994</v>
      </c>
      <c r="I23" s="671">
        <f>I21*0.012</f>
        <v>4.8913659599999999</v>
      </c>
      <c r="J23" s="429"/>
    </row>
    <row r="24" spans="2:10" s="425" customFormat="1" ht="42">
      <c r="C24" s="426"/>
      <c r="D24" s="426"/>
      <c r="E24" s="427"/>
      <c r="F24" s="427"/>
      <c r="G24" s="427"/>
      <c r="H24" s="668" t="s">
        <v>674</v>
      </c>
      <c r="I24" s="668" t="s">
        <v>675</v>
      </c>
      <c r="J24" s="426"/>
    </row>
    <row r="25" spans="2:10" s="425" customFormat="1">
      <c r="C25" s="426"/>
      <c r="D25" s="426"/>
      <c r="E25" s="427"/>
      <c r="F25" s="427"/>
      <c r="G25" s="427"/>
      <c r="H25" s="672">
        <f>H21+H23</f>
        <v>533.8768556</v>
      </c>
      <c r="I25" s="672">
        <f>I21+I23</f>
        <v>412.50519595999998</v>
      </c>
      <c r="J25" s="426"/>
    </row>
    <row r="26" spans="2:10" s="425" customFormat="1">
      <c r="C26" s="426"/>
      <c r="D26" s="426"/>
      <c r="E26" s="427"/>
      <c r="F26" s="427"/>
      <c r="G26" s="427"/>
      <c r="H26" s="426"/>
      <c r="I26" s="426"/>
      <c r="J26" s="426"/>
    </row>
    <row r="27" spans="2:10" s="425" customFormat="1">
      <c r="C27" s="426"/>
      <c r="D27" s="426"/>
      <c r="E27" s="427"/>
      <c r="F27" s="427"/>
      <c r="G27" s="427"/>
      <c r="H27" s="426"/>
      <c r="I27" s="426"/>
      <c r="J27" s="426"/>
    </row>
    <row r="28" spans="2:10" s="425" customFormat="1">
      <c r="C28" s="426"/>
      <c r="D28" s="426"/>
      <c r="E28" s="427"/>
      <c r="F28" s="427"/>
      <c r="G28" s="427"/>
      <c r="H28" s="426"/>
      <c r="I28" s="426"/>
      <c r="J28" s="426"/>
    </row>
    <row r="29" spans="2:10" s="425" customFormat="1">
      <c r="C29" s="426"/>
      <c r="D29" s="426"/>
      <c r="E29" s="427"/>
      <c r="F29" s="427"/>
      <c r="G29" s="427"/>
      <c r="H29" s="426"/>
      <c r="I29" s="426"/>
      <c r="J29" s="426"/>
    </row>
    <row r="30" spans="2:10" s="425" customFormat="1">
      <c r="C30" s="426"/>
      <c r="D30" s="426"/>
      <c r="E30" s="427"/>
      <c r="F30" s="427"/>
      <c r="G30" s="427"/>
      <c r="H30" s="426"/>
      <c r="I30" s="426"/>
      <c r="J30" s="426"/>
    </row>
    <row r="31" spans="2:10" s="425" customFormat="1">
      <c r="B31" s="21"/>
      <c r="C31" s="423"/>
      <c r="D31" s="423"/>
      <c r="E31" s="423"/>
      <c r="F31" s="423"/>
      <c r="G31" s="423"/>
      <c r="H31" s="426"/>
      <c r="I31" s="426"/>
      <c r="J31" s="426"/>
    </row>
    <row r="32" spans="2:10" s="425" customFormat="1">
      <c r="B32" s="21"/>
      <c r="C32" s="423"/>
      <c r="D32" s="423"/>
      <c r="E32" s="423"/>
      <c r="F32" s="423"/>
      <c r="G32" s="423"/>
      <c r="H32" s="426"/>
      <c r="I32" s="426"/>
      <c r="J32" s="426"/>
    </row>
    <row r="33" spans="2:12" s="425" customFormat="1">
      <c r="B33" s="21"/>
      <c r="C33" s="423"/>
      <c r="D33" s="423"/>
      <c r="E33" s="423"/>
      <c r="F33" s="423"/>
      <c r="G33" s="423"/>
      <c r="H33" s="426"/>
      <c r="I33" s="426"/>
      <c r="J33" s="426"/>
    </row>
    <row r="34" spans="2:12" s="425" customFormat="1">
      <c r="B34" s="21"/>
      <c r="C34" s="426"/>
      <c r="D34" s="426"/>
      <c r="E34" s="427"/>
      <c r="F34" s="427"/>
      <c r="G34" s="427"/>
      <c r="H34" s="426"/>
      <c r="I34" s="426"/>
      <c r="J34" s="426"/>
    </row>
    <row r="35" spans="2:12" s="425" customFormat="1">
      <c r="B35" s="21"/>
      <c r="C35" s="426"/>
      <c r="D35" s="426"/>
      <c r="E35" s="427"/>
      <c r="F35" s="427"/>
      <c r="G35" s="427"/>
      <c r="H35" s="426"/>
      <c r="I35" s="426"/>
      <c r="J35" s="423"/>
    </row>
    <row r="36" spans="2:12" s="425" customFormat="1">
      <c r="C36" s="426"/>
      <c r="D36" s="426"/>
      <c r="E36" s="427"/>
      <c r="F36" s="427"/>
      <c r="G36" s="427"/>
      <c r="H36" s="426"/>
      <c r="I36" s="426"/>
      <c r="J36" s="426"/>
    </row>
    <row r="37" spans="2:12" s="425" customFormat="1">
      <c r="B37" s="21"/>
    </row>
    <row r="38" spans="2:12" s="425" customFormat="1">
      <c r="B38" s="21"/>
    </row>
    <row r="39" spans="2:12" s="425" customFormat="1">
      <c r="B39" s="428"/>
      <c r="C39" s="428"/>
      <c r="D39" s="428"/>
      <c r="E39" s="429"/>
      <c r="F39" s="429"/>
      <c r="G39" s="430"/>
      <c r="H39" s="430"/>
      <c r="I39" s="21"/>
      <c r="J39" s="429"/>
      <c r="K39" s="429"/>
      <c r="L39" s="429"/>
    </row>
    <row r="40" spans="2:12" s="425" customFormat="1">
      <c r="E40" s="426"/>
      <c r="F40" s="426"/>
      <c r="G40" s="427"/>
      <c r="H40" s="427"/>
      <c r="I40" s="427"/>
      <c r="J40" s="426"/>
      <c r="K40" s="426"/>
      <c r="L40" s="426"/>
    </row>
    <row r="41" spans="2:12" s="425" customFormat="1">
      <c r="E41" s="426"/>
      <c r="F41" s="426"/>
      <c r="G41" s="427"/>
      <c r="H41" s="427"/>
      <c r="I41" s="427"/>
      <c r="J41" s="426"/>
      <c r="K41" s="426"/>
      <c r="L41" s="426"/>
    </row>
    <row r="42" spans="2:12" s="425" customFormat="1">
      <c r="E42" s="426"/>
      <c r="F42" s="426"/>
      <c r="G42" s="427"/>
      <c r="H42" s="427"/>
      <c r="I42" s="427"/>
      <c r="J42" s="426"/>
      <c r="K42" s="426"/>
      <c r="L42" s="426"/>
    </row>
    <row r="43" spans="2:12" s="425" customFormat="1">
      <c r="E43" s="426"/>
      <c r="F43" s="426"/>
      <c r="G43" s="427"/>
      <c r="H43" s="427"/>
      <c r="I43" s="427"/>
      <c r="J43" s="426"/>
      <c r="K43" s="426"/>
      <c r="L43" s="426"/>
    </row>
    <row r="44" spans="2:12" s="425" customFormat="1">
      <c r="E44" s="426"/>
      <c r="F44" s="426"/>
      <c r="G44" s="427"/>
      <c r="H44" s="427"/>
      <c r="I44" s="427"/>
      <c r="J44" s="426"/>
      <c r="K44" s="426"/>
      <c r="L44" s="426"/>
    </row>
    <row r="45" spans="2:12" s="425" customFormat="1">
      <c r="E45" s="426"/>
      <c r="F45" s="426"/>
      <c r="G45" s="427"/>
      <c r="H45" s="427"/>
      <c r="I45" s="427"/>
      <c r="J45" s="426"/>
      <c r="K45" s="426"/>
      <c r="L45" s="426"/>
    </row>
  </sheetData>
  <phoneticPr fontId="7" type="noConversion"/>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31"/>
  <sheetViews>
    <sheetView workbookViewId="0">
      <selection activeCell="F22" sqref="D22:F22"/>
    </sheetView>
  </sheetViews>
  <sheetFormatPr baseColWidth="10" defaultColWidth="8.83203125" defaultRowHeight="14" x14ac:dyDescent="0"/>
  <cols>
    <col min="3" max="3" width="18.5" customWidth="1"/>
    <col min="4" max="4" width="28" customWidth="1"/>
    <col min="5" max="5" width="23.6640625" customWidth="1"/>
    <col min="6" max="6" width="29" customWidth="1"/>
    <col min="7" max="7" width="25.1640625" customWidth="1"/>
    <col min="8" max="8" width="32.6640625" customWidth="1"/>
  </cols>
  <sheetData>
    <row r="2" spans="3:9">
      <c r="C2" s="706" t="s">
        <v>407</v>
      </c>
      <c r="D2" s="706"/>
      <c r="E2" s="706"/>
      <c r="F2" s="706"/>
      <c r="G2" s="706"/>
      <c r="H2" s="706"/>
    </row>
    <row r="3" spans="3:9">
      <c r="C3" s="18" t="s">
        <v>379</v>
      </c>
      <c r="D3" s="27" t="s">
        <v>427</v>
      </c>
      <c r="E3" s="29" t="s">
        <v>428</v>
      </c>
      <c r="F3" s="27" t="s">
        <v>429</v>
      </c>
      <c r="G3" s="29" t="s">
        <v>430</v>
      </c>
      <c r="H3" s="26" t="s">
        <v>431</v>
      </c>
    </row>
    <row r="4" spans="3:9">
      <c r="C4" s="705" t="s">
        <v>408</v>
      </c>
      <c r="D4" s="28" t="s">
        <v>380</v>
      </c>
      <c r="E4" s="30" t="s">
        <v>421</v>
      </c>
      <c r="F4" s="28" t="s">
        <v>422</v>
      </c>
      <c r="G4" s="24" t="s">
        <v>424</v>
      </c>
      <c r="H4" s="25" t="s">
        <v>426</v>
      </c>
    </row>
    <row r="5" spans="3:9">
      <c r="C5" s="705"/>
      <c r="D5" s="28" t="s">
        <v>418</v>
      </c>
      <c r="E5" s="30"/>
      <c r="F5" s="28" t="s">
        <v>423</v>
      </c>
      <c r="G5" s="24" t="s">
        <v>432</v>
      </c>
      <c r="H5" s="25" t="s">
        <v>424</v>
      </c>
    </row>
    <row r="6" spans="3:9">
      <c r="C6" s="705"/>
      <c r="D6" s="28" t="s">
        <v>419</v>
      </c>
      <c r="E6" s="30"/>
      <c r="F6" s="28"/>
      <c r="G6" s="24"/>
      <c r="H6" s="25" t="s">
        <v>425</v>
      </c>
    </row>
    <row r="7" spans="3:9">
      <c r="C7" s="705"/>
      <c r="D7" s="28" t="s">
        <v>420</v>
      </c>
      <c r="E7" s="30"/>
      <c r="F7" s="28"/>
      <c r="G7" s="24"/>
      <c r="H7" s="25"/>
    </row>
    <row r="10" spans="3:9">
      <c r="D10" s="2" t="s">
        <v>391</v>
      </c>
      <c r="E10" s="2"/>
      <c r="F10" s="2"/>
      <c r="G10" s="3"/>
      <c r="H10" s="704" t="s">
        <v>392</v>
      </c>
      <c r="I10" s="704"/>
    </row>
    <row r="11" spans="3:9">
      <c r="D11" s="4" t="s">
        <v>393</v>
      </c>
      <c r="E11" s="4"/>
      <c r="F11" s="4">
        <v>625</v>
      </c>
      <c r="G11" s="5"/>
      <c r="H11" s="4" t="s">
        <v>394</v>
      </c>
      <c r="I11" s="4">
        <v>1</v>
      </c>
    </row>
    <row r="12" spans="3:9">
      <c r="D12" s="4" t="s">
        <v>395</v>
      </c>
      <c r="E12" s="4"/>
      <c r="F12" s="4">
        <v>2.4819999999999998E-2</v>
      </c>
      <c r="G12" s="5"/>
      <c r="H12" s="4" t="s">
        <v>396</v>
      </c>
      <c r="I12" s="4">
        <v>21</v>
      </c>
    </row>
    <row r="13" spans="3:9">
      <c r="D13" s="4" t="s">
        <v>397</v>
      </c>
      <c r="E13" s="4"/>
      <c r="F13" s="4">
        <v>1.119E-2</v>
      </c>
      <c r="G13" s="5"/>
      <c r="H13" s="4" t="s">
        <v>398</v>
      </c>
      <c r="I13" s="4">
        <v>310</v>
      </c>
    </row>
    <row r="14" spans="3:9">
      <c r="D14" s="4" t="s">
        <v>399</v>
      </c>
      <c r="E14" s="4"/>
      <c r="F14" s="4">
        <v>53.02</v>
      </c>
      <c r="G14" s="5"/>
      <c r="H14" s="5"/>
      <c r="I14" s="5"/>
    </row>
    <row r="15" spans="3:9">
      <c r="D15" s="4" t="s">
        <v>400</v>
      </c>
      <c r="E15" s="4"/>
      <c r="F15" s="4">
        <v>5.0000000000000001E-3</v>
      </c>
      <c r="G15" s="5"/>
      <c r="H15" s="5"/>
      <c r="I15" s="5"/>
    </row>
    <row r="16" spans="3:9">
      <c r="D16" s="4" t="s">
        <v>401</v>
      </c>
      <c r="E16" s="4"/>
      <c r="F16" s="4">
        <v>1E-4</v>
      </c>
      <c r="G16" s="5"/>
      <c r="H16" s="5"/>
      <c r="I16" s="5"/>
    </row>
    <row r="17" spans="4:9">
      <c r="D17" s="4" t="s">
        <v>402</v>
      </c>
      <c r="E17" s="4"/>
      <c r="F17" s="4">
        <v>10.199999999999999</v>
      </c>
      <c r="G17" s="5"/>
      <c r="H17" s="5"/>
      <c r="I17" s="5"/>
    </row>
    <row r="18" spans="4:9">
      <c r="D18" s="4" t="s">
        <v>403</v>
      </c>
      <c r="E18" s="4"/>
      <c r="F18" s="4">
        <v>1.5E-3</v>
      </c>
      <c r="G18" s="5"/>
      <c r="H18" s="5"/>
      <c r="I18" s="5"/>
    </row>
    <row r="19" spans="4:9">
      <c r="D19" s="4" t="s">
        <v>343</v>
      </c>
      <c r="E19" s="4"/>
      <c r="F19" s="4">
        <v>1E-4</v>
      </c>
      <c r="G19" s="5"/>
      <c r="H19" s="5"/>
      <c r="I19" s="5"/>
    </row>
    <row r="22" spans="4:9">
      <c r="D22" s="584" t="s">
        <v>694</v>
      </c>
      <c r="E22" s="585"/>
      <c r="F22" s="585"/>
    </row>
    <row r="23" spans="4:9">
      <c r="D23" s="580" t="s">
        <v>677</v>
      </c>
      <c r="E23" s="579"/>
      <c r="F23" s="579"/>
    </row>
    <row r="24" spans="4:9">
      <c r="D24" s="580" t="s">
        <v>645</v>
      </c>
      <c r="E24" s="579"/>
      <c r="F24" s="579"/>
    </row>
    <row r="25" spans="4:9">
      <c r="D25" s="580" t="s">
        <v>676</v>
      </c>
      <c r="E25" s="579"/>
      <c r="F25" s="579"/>
    </row>
    <row r="26" spans="4:9">
      <c r="D26" s="581" t="s">
        <v>647</v>
      </c>
      <c r="E26" s="579"/>
      <c r="F26" s="579"/>
    </row>
    <row r="27" spans="4:9">
      <c r="D27" s="581" t="s">
        <v>678</v>
      </c>
      <c r="E27" s="579"/>
      <c r="F27" s="579"/>
    </row>
    <row r="28" spans="4:9">
      <c r="D28" s="579"/>
      <c r="E28" s="579"/>
      <c r="F28" s="579"/>
    </row>
    <row r="29" spans="4:9">
      <c r="D29" s="582" t="s">
        <v>695</v>
      </c>
      <c r="E29" s="579"/>
      <c r="F29" s="579"/>
    </row>
    <row r="30" spans="4:9">
      <c r="D30" s="583" t="s">
        <v>644</v>
      </c>
      <c r="E30" s="579"/>
      <c r="F30" s="579"/>
    </row>
    <row r="31" spans="4:9">
      <c r="D31" s="579" t="s">
        <v>643</v>
      </c>
      <c r="E31" s="579"/>
      <c r="F31" s="579"/>
    </row>
  </sheetData>
  <mergeCells count="3">
    <mergeCell ref="H10:I10"/>
    <mergeCell ref="C4:C7"/>
    <mergeCell ref="C2:H2"/>
  </mergeCells>
  <phoneticPr fontId="7" type="noConversion"/>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O96"/>
  <sheetViews>
    <sheetView topLeftCell="A8" workbookViewId="0">
      <pane ySplit="7" topLeftCell="A24" activePane="bottomLeft" state="frozen"/>
      <selection activeCell="A8" sqref="A8"/>
      <selection pane="bottomLeft" activeCell="P14" sqref="P14"/>
    </sheetView>
  </sheetViews>
  <sheetFormatPr baseColWidth="10" defaultColWidth="19" defaultRowHeight="14" x14ac:dyDescent="0"/>
  <cols>
    <col min="1" max="1" width="16.1640625" style="35" customWidth="1"/>
    <col min="2" max="13" width="7.6640625" style="35" customWidth="1"/>
    <col min="14" max="14" width="3.6640625" style="35" customWidth="1"/>
    <col min="15" max="15" width="17.6640625" style="35" customWidth="1"/>
    <col min="16" max="16384" width="19" style="35"/>
  </cols>
  <sheetData>
    <row r="13" spans="1:15">
      <c r="A13" s="34" t="s">
        <v>354</v>
      </c>
    </row>
    <row r="14" spans="1:15">
      <c r="A14" s="36" t="s">
        <v>370</v>
      </c>
      <c r="B14" s="37" t="s">
        <v>355</v>
      </c>
      <c r="C14" s="37" t="s">
        <v>356</v>
      </c>
      <c r="D14" s="37" t="s">
        <v>357</v>
      </c>
      <c r="E14" s="37" t="s">
        <v>462</v>
      </c>
      <c r="F14" s="37" t="s">
        <v>463</v>
      </c>
      <c r="G14" s="37" t="s">
        <v>464</v>
      </c>
      <c r="H14" s="37" t="s">
        <v>465</v>
      </c>
      <c r="I14" s="37" t="s">
        <v>466</v>
      </c>
      <c r="J14" s="37" t="s">
        <v>358</v>
      </c>
      <c r="K14" s="37" t="s">
        <v>467</v>
      </c>
      <c r="L14" s="37" t="s">
        <v>468</v>
      </c>
      <c r="M14" s="37" t="s">
        <v>469</v>
      </c>
      <c r="O14" s="38" t="s">
        <v>359</v>
      </c>
    </row>
    <row r="15" spans="1:15">
      <c r="A15" s="39">
        <v>143027007</v>
      </c>
      <c r="B15" s="35">
        <f>VLOOKUP($A15,'NG-Jan-Bill'!$A$15:$X$96,15)</f>
        <v>67</v>
      </c>
      <c r="C15" s="35">
        <f>VLOOKUP($A15,'NG-Feb-Bill'!$A$15:$X$96,15)</f>
        <v>56</v>
      </c>
      <c r="D15" s="35">
        <f>VLOOKUP($A15,'NG_Mar-Bill'!$A$15:$X$96,15)</f>
        <v>51</v>
      </c>
      <c r="E15" s="35">
        <f>VLOOKUP($A15,'NG-Apr-Bill'!$A$15:$X$96,15)</f>
        <v>51</v>
      </c>
      <c r="F15" s="35">
        <f>VLOOKUP($A15,'NG-May-Bill'!$A$15:$X$96,15)</f>
        <v>42</v>
      </c>
      <c r="G15" s="35">
        <f>VLOOKUP($A15,'NG-Jun-Bill'!$A$15:$X$96,15)</f>
        <v>41</v>
      </c>
      <c r="H15" s="35">
        <f>VLOOKUP($A15,'NG-Jul-Bill'!$A$15:$X$96,15)</f>
        <v>37</v>
      </c>
      <c r="I15" s="35">
        <f>VLOOKUP($A15,'NG-Aug-Bill'!$A$15:$X$96,15)</f>
        <v>45</v>
      </c>
      <c r="J15" s="35">
        <f>VLOOKUP($A15,'NG-Sept-Bill'!$A$15:$X$96,15)</f>
        <v>43</v>
      </c>
      <c r="K15" s="35">
        <f>VLOOKUP($A15,'NG-Oct-Bill'!$A$15:$X$96,15)</f>
        <v>50</v>
      </c>
      <c r="L15" s="35">
        <f>VLOOKUP($A15,'NG-Nov-Bill'!$A$15:$X$96,15)</f>
        <v>55</v>
      </c>
      <c r="M15" s="35">
        <f>VLOOKUP($A15,'NG-Dec-Bill'!$A$15:$X$96,15)</f>
        <v>66</v>
      </c>
      <c r="O15" s="35">
        <f>SUM(B15:N15)</f>
        <v>604</v>
      </c>
    </row>
    <row r="16" spans="1:15">
      <c r="A16" s="39">
        <v>173880101</v>
      </c>
      <c r="B16" s="35">
        <f>VLOOKUP($A16,'NG-Jan-Bill'!$A$15:$X$96,15)</f>
        <v>85</v>
      </c>
      <c r="C16" s="35">
        <f>VLOOKUP($A16,'NG-Feb-Bill'!$A$15:$X$96,15)</f>
        <v>68</v>
      </c>
      <c r="D16" s="35">
        <f>VLOOKUP($A16,'NG_Mar-Bill'!$A$15:$X$96,15)</f>
        <v>59</v>
      </c>
      <c r="E16" s="35">
        <f>VLOOKUP($A16,'NG-Apr-Bill'!$A$15:$X$96,15)</f>
        <v>55</v>
      </c>
      <c r="F16" s="35">
        <f>VLOOKUP($A16,'NG-May-Bill'!$A$15:$X$96,15)</f>
        <v>53</v>
      </c>
      <c r="G16" s="35">
        <f>VLOOKUP($A16,'NG-Jun-Bill'!$A$15:$X$96,15)</f>
        <v>42</v>
      </c>
      <c r="H16" s="35">
        <f>VLOOKUP($A16,'NG-Jul-Bill'!$A$15:$X$96,15)</f>
        <v>47</v>
      </c>
      <c r="I16" s="35">
        <f>VLOOKUP($A16,'NG-Aug-Bill'!$A$15:$X$96,15)</f>
        <v>50</v>
      </c>
      <c r="J16" s="35">
        <f>VLOOKUP($A16,'NG-Sept-Bill'!$A$15:$X$96,15)</f>
        <v>54</v>
      </c>
      <c r="K16" s="35">
        <f>VLOOKUP($A16,'NG-Oct-Bill'!$A$15:$X$96,15)</f>
        <v>65</v>
      </c>
      <c r="L16" s="35">
        <f>VLOOKUP($A16,'NG-Nov-Bill'!$A$15:$X$96,15)</f>
        <v>68</v>
      </c>
      <c r="M16" s="35">
        <f>VLOOKUP($A16,'NG-Dec-Bill'!$A$15:$X$96,15)</f>
        <v>75</v>
      </c>
      <c r="O16" s="35">
        <f t="shared" ref="O16:O79" si="0">SUM(B16:N16)</f>
        <v>721</v>
      </c>
    </row>
    <row r="17" spans="1:15">
      <c r="A17" s="39">
        <v>208811116</v>
      </c>
      <c r="B17" s="35">
        <f>VLOOKUP($A17,'NG-Jan-Bill'!$A$15:$X$96,15)</f>
        <v>2013</v>
      </c>
      <c r="C17" s="35">
        <f>VLOOKUP($A17,'NG-Feb-Bill'!$A$15:$X$96,15)</f>
        <v>1890</v>
      </c>
      <c r="D17" s="35">
        <f>VLOOKUP($A17,'NG_Mar-Bill'!$A$15:$X$96,15)</f>
        <v>1853</v>
      </c>
      <c r="E17" s="35">
        <f>VLOOKUP($A17,'NG-Apr-Bill'!$A$15:$X$96,15)</f>
        <v>2326</v>
      </c>
      <c r="F17" s="35">
        <f>VLOOKUP($A17,'NG-May-Bill'!$A$15:$X$96,15)</f>
        <v>2053</v>
      </c>
      <c r="G17" s="35">
        <f>VLOOKUP($A17,'NG-Jun-Bill'!$A$15:$X$96,15)</f>
        <v>2282</v>
      </c>
      <c r="H17" s="35">
        <f>VLOOKUP($A17,'NG-Jul-Bill'!$A$15:$X$96,15)</f>
        <v>2034</v>
      </c>
      <c r="I17" s="35">
        <f>VLOOKUP($A17,'NG-Aug-Bill'!$A$15:$X$96,15)</f>
        <v>1341</v>
      </c>
      <c r="J17" s="35">
        <f>VLOOKUP($A17,'NG-Sept-Bill'!$A$15:$X$96,15)</f>
        <v>1558</v>
      </c>
      <c r="K17" s="35">
        <f>VLOOKUP($A17,'NG-Oct-Bill'!$A$15:$X$96,15)</f>
        <v>1348</v>
      </c>
      <c r="L17" s="35">
        <f>VLOOKUP($A17,'NG-Nov-Bill'!$A$15:$X$96,15)</f>
        <v>1644</v>
      </c>
      <c r="M17" s="35">
        <f>VLOOKUP($A17,'NG-Dec-Bill'!$A$15:$X$96,15)</f>
        <v>1904</v>
      </c>
      <c r="O17" s="35">
        <f t="shared" si="0"/>
        <v>22246</v>
      </c>
    </row>
    <row r="18" spans="1:15">
      <c r="A18" s="39">
        <v>248811109</v>
      </c>
      <c r="B18" s="35">
        <f>VLOOKUP($A18,'NG-Jan-Bill'!$A$15:$X$96,15)</f>
        <v>0</v>
      </c>
      <c r="C18" s="35">
        <f>VLOOKUP($A18,'NG-Feb-Bill'!$A$15:$X$96,15)</f>
        <v>0</v>
      </c>
      <c r="D18" s="35">
        <f>VLOOKUP($A18,'NG_Mar-Bill'!$A$15:$X$96,15)</f>
        <v>0</v>
      </c>
      <c r="E18" s="35">
        <f>VLOOKUP($A18,'NG-Apr-Bill'!$A$15:$X$96,15)</f>
        <v>0</v>
      </c>
      <c r="F18" s="35">
        <f>VLOOKUP($A18,'NG-May-Bill'!$A$15:$X$96,15)</f>
        <v>0</v>
      </c>
      <c r="G18" s="35">
        <f>VLOOKUP($A18,'NG-Jun-Bill'!$A$15:$X$96,15)</f>
        <v>0</v>
      </c>
      <c r="H18" s="35">
        <f>VLOOKUP($A18,'NG-Jul-Bill'!$A$15:$X$96,15)</f>
        <v>0</v>
      </c>
      <c r="I18" s="35">
        <f>VLOOKUP($A18,'NG-Aug-Bill'!$A$15:$X$96,15)</f>
        <v>0</v>
      </c>
      <c r="J18" s="35">
        <f>VLOOKUP($A18,'NG-Sept-Bill'!$A$15:$X$96,15)</f>
        <v>0</v>
      </c>
      <c r="K18" s="35">
        <f>VLOOKUP($A18,'NG-Oct-Bill'!$A$15:$X$96,15)</f>
        <v>0</v>
      </c>
      <c r="L18" s="35">
        <f>VLOOKUP($A18,'NG-Nov-Bill'!$A$15:$X$96,15)</f>
        <v>0</v>
      </c>
      <c r="M18" s="35">
        <f>VLOOKUP($A18,'NG-Dec-Bill'!$A$15:$X$96,15)</f>
        <v>0</v>
      </c>
      <c r="O18" s="35">
        <f t="shared" si="0"/>
        <v>0</v>
      </c>
    </row>
    <row r="19" spans="1:15">
      <c r="A19" s="39">
        <v>288811101</v>
      </c>
      <c r="B19" s="35">
        <f>VLOOKUP($A19,'NG-Jan-Bill'!$A$15:$X$96,15)</f>
        <v>8080</v>
      </c>
      <c r="C19" s="35">
        <f>VLOOKUP($A19,'NG-Feb-Bill'!$A$15:$X$96,15)</f>
        <v>7600</v>
      </c>
      <c r="D19" s="35">
        <f>VLOOKUP($A19,'NG_Mar-Bill'!$A$15:$X$96,15)</f>
        <v>7520</v>
      </c>
      <c r="E19" s="35">
        <f>VLOOKUP($A19,'NG-Apr-Bill'!$A$15:$X$96,15)</f>
        <v>8240</v>
      </c>
      <c r="F19" s="35">
        <f>VLOOKUP($A19,'NG-May-Bill'!$A$15:$X$96,15)</f>
        <v>8400</v>
      </c>
      <c r="G19" s="35">
        <f>VLOOKUP($A19,'NG-Jun-Bill'!$A$15:$X$96,15)</f>
        <v>9200</v>
      </c>
      <c r="H19" s="35">
        <f>VLOOKUP($A19,'NG-Jul-Bill'!$A$15:$X$96,15)</f>
        <v>10880</v>
      </c>
      <c r="I19" s="35">
        <f>VLOOKUP($A19,'NG-Aug-Bill'!$A$15:$X$96,15)</f>
        <v>11360</v>
      </c>
      <c r="J19" s="35">
        <f>VLOOKUP($A19,'NG-Sept-Bill'!$A$15:$X$96,15)</f>
        <v>10560</v>
      </c>
      <c r="K19" s="35">
        <f>VLOOKUP($A19,'NG-Oct-Bill'!$A$15:$X$96,15)</f>
        <v>8240</v>
      </c>
      <c r="L19" s="35">
        <f>VLOOKUP($A19,'NG-Nov-Bill'!$A$15:$X$96,15)</f>
        <v>7280</v>
      </c>
      <c r="M19" s="35">
        <f>VLOOKUP($A19,'NG-Dec-Bill'!$A$15:$X$96,15)</f>
        <v>8320</v>
      </c>
      <c r="O19" s="35">
        <f t="shared" si="0"/>
        <v>105680</v>
      </c>
    </row>
    <row r="20" spans="1:15">
      <c r="A20" s="39">
        <v>293879106</v>
      </c>
      <c r="B20" s="35">
        <f>VLOOKUP($A20,'NG-Jan-Bill'!$A$15:$X$96,15)</f>
        <v>1058</v>
      </c>
      <c r="C20" s="35">
        <f>VLOOKUP($A20,'NG-Feb-Bill'!$A$15:$X$96,15)</f>
        <v>842</v>
      </c>
      <c r="D20" s="35">
        <f>VLOOKUP($A20,'NG_Mar-Bill'!$A$15:$X$96,15)</f>
        <v>728</v>
      </c>
      <c r="E20" s="35">
        <f>VLOOKUP($A20,'NG-Apr-Bill'!$A$15:$X$96,15)</f>
        <v>693</v>
      </c>
      <c r="F20" s="35">
        <f>VLOOKUP($A20,'NG-May-Bill'!$A$15:$X$96,15)</f>
        <v>661</v>
      </c>
      <c r="G20" s="35">
        <f>VLOOKUP($A20,'NG-Jun-Bill'!$A$15:$X$96,15)</f>
        <v>524</v>
      </c>
      <c r="H20" s="35">
        <f>VLOOKUP($A20,'NG-Jul-Bill'!$A$15:$X$96,15)</f>
        <v>579</v>
      </c>
      <c r="I20" s="35">
        <f>VLOOKUP($A20,'NG-Aug-Bill'!$A$15:$X$96,15)</f>
        <v>625</v>
      </c>
      <c r="J20" s="35">
        <f>VLOOKUP($A20,'NG-Sept-Bill'!$A$15:$X$96,15)</f>
        <v>666</v>
      </c>
      <c r="K20" s="35">
        <f>VLOOKUP($A20,'NG-Oct-Bill'!$A$15:$X$96,15)</f>
        <v>812</v>
      </c>
      <c r="L20" s="35">
        <f>VLOOKUP($A20,'NG-Nov-Bill'!$A$15:$X$96,15)</f>
        <v>846</v>
      </c>
      <c r="M20" s="35">
        <f>VLOOKUP($A20,'NG-Dec-Bill'!$A$15:$X$96,15)</f>
        <v>934</v>
      </c>
      <c r="O20" s="35">
        <f t="shared" si="0"/>
        <v>8968</v>
      </c>
    </row>
    <row r="21" spans="1:15">
      <c r="A21" s="39">
        <v>308809118</v>
      </c>
      <c r="B21" s="35">
        <f>VLOOKUP($A21,'NG-Jan-Bill'!$A$15:$X$96,15)</f>
        <v>984</v>
      </c>
      <c r="C21" s="35">
        <f>VLOOKUP($A21,'NG-Feb-Bill'!$A$15:$X$96,15)</f>
        <v>956</v>
      </c>
      <c r="D21" s="35">
        <f>VLOOKUP($A21,'NG_Mar-Bill'!$A$15:$X$96,15)</f>
        <v>869</v>
      </c>
      <c r="E21" s="35">
        <f>VLOOKUP($A21,'NG-Apr-Bill'!$A$15:$X$96,15)</f>
        <v>719</v>
      </c>
      <c r="F21" s="35">
        <f>VLOOKUP($A21,'NG-May-Bill'!$A$15:$X$96,15)</f>
        <v>403</v>
      </c>
      <c r="G21" s="35">
        <f>VLOOKUP($A21,'NG-Jun-Bill'!$A$15:$X$96,15)</f>
        <v>296</v>
      </c>
      <c r="H21" s="35">
        <f>VLOOKUP($A21,'NG-Jul-Bill'!$A$15:$X$96,15)</f>
        <v>300</v>
      </c>
      <c r="I21" s="35">
        <f>VLOOKUP($A21,'NG-Aug-Bill'!$A$15:$X$96,15)</f>
        <v>311</v>
      </c>
      <c r="J21" s="35">
        <f>VLOOKUP($A21,'NG-Sept-Bill'!$A$15:$X$96,15)</f>
        <v>255</v>
      </c>
      <c r="K21" s="35">
        <f>VLOOKUP($A21,'NG-Oct-Bill'!$A$15:$X$96,15)</f>
        <v>302</v>
      </c>
      <c r="L21" s="35">
        <f>VLOOKUP($A21,'NG-Nov-Bill'!$A$15:$X$96,15)</f>
        <v>467</v>
      </c>
      <c r="M21" s="35">
        <f>VLOOKUP($A21,'NG-Dec-Bill'!$A$15:$X$96,15)</f>
        <v>817</v>
      </c>
      <c r="O21" s="35">
        <f t="shared" si="0"/>
        <v>6679</v>
      </c>
    </row>
    <row r="22" spans="1:15">
      <c r="A22" s="39">
        <v>375074007</v>
      </c>
      <c r="B22" s="35">
        <f>VLOOKUP($A22,'NG-Jan-Bill'!$A$15:$X$96,15)</f>
        <v>160</v>
      </c>
      <c r="C22" s="35">
        <f>VLOOKUP($A22,'NG-Feb-Bill'!$A$15:$X$96,15)</f>
        <v>0</v>
      </c>
      <c r="D22" s="35">
        <f>VLOOKUP($A22,'NG_Mar-Bill'!$A$15:$X$96,15)</f>
        <v>2</v>
      </c>
      <c r="E22" s="35">
        <f>VLOOKUP($A22,'NG-Apr-Bill'!$A$15:$X$96,15)</f>
        <v>1</v>
      </c>
      <c r="F22" s="35">
        <f>VLOOKUP($A22,'NG-May-Bill'!$A$15:$X$96,15)</f>
        <v>66</v>
      </c>
      <c r="G22" s="35">
        <f>VLOOKUP($A22,'NG-Jun-Bill'!$A$15:$X$96,15)</f>
        <v>210</v>
      </c>
      <c r="H22" s="35">
        <f>VLOOKUP($A22,'NG-Jul-Bill'!$A$15:$X$96,15)</f>
        <v>0</v>
      </c>
      <c r="I22" s="35">
        <f>VLOOKUP($A22,'NG-Aug-Bill'!$A$15:$X$96,15)</f>
        <v>308</v>
      </c>
      <c r="J22" s="35">
        <f>VLOOKUP($A22,'NG-Sept-Bill'!$A$15:$X$96,15)</f>
        <v>220</v>
      </c>
      <c r="K22" s="35">
        <f>VLOOKUP($A22,'NG-Oct-Bill'!$A$15:$X$96,15)</f>
        <v>198</v>
      </c>
      <c r="L22" s="35">
        <f>VLOOKUP($A22,'NG-Nov-Bill'!$A$15:$X$96,15)</f>
        <v>180</v>
      </c>
      <c r="M22" s="35">
        <f>VLOOKUP($A22,'NG-Dec-Bill'!$A$15:$X$96,15)</f>
        <v>170</v>
      </c>
      <c r="O22" s="35">
        <f t="shared" si="0"/>
        <v>1515</v>
      </c>
    </row>
    <row r="23" spans="1:15">
      <c r="A23" s="39">
        <v>783104003</v>
      </c>
      <c r="B23" s="35">
        <f>VLOOKUP($A23,'NG-Jan-Bill'!$A$15:$X$96,15)</f>
        <v>51</v>
      </c>
      <c r="C23" s="35">
        <f>VLOOKUP($A23,'NG-Feb-Bill'!$A$15:$X$96,15)</f>
        <v>22</v>
      </c>
      <c r="D23" s="35">
        <f>VLOOKUP($A23,'NG_Mar-Bill'!$A$15:$X$96,15)</f>
        <v>20</v>
      </c>
      <c r="E23" s="35">
        <f>VLOOKUP($A23,'NG-Apr-Bill'!$A$15:$X$96,15)</f>
        <v>20</v>
      </c>
      <c r="F23" s="35">
        <f>VLOOKUP($A23,'NG-May-Bill'!$A$15:$X$96,15)</f>
        <v>18</v>
      </c>
      <c r="G23" s="35">
        <f>VLOOKUP($A23,'NG-Jun-Bill'!$A$15:$X$96,15)</f>
        <v>17</v>
      </c>
      <c r="H23" s="35">
        <f>VLOOKUP($A23,'NG-Jul-Bill'!$A$15:$X$96,15)</f>
        <v>14</v>
      </c>
      <c r="I23" s="35">
        <f>VLOOKUP($A23,'NG-Aug-Bill'!$A$15:$X$96,15)</f>
        <v>15</v>
      </c>
      <c r="J23" s="35">
        <f>VLOOKUP($A23,'NG-Sept-Bill'!$A$15:$X$96,15)</f>
        <v>17</v>
      </c>
      <c r="K23" s="35">
        <f>VLOOKUP($A23,'NG-Oct-Bill'!$A$15:$X$96,15)</f>
        <v>9</v>
      </c>
      <c r="L23" s="35">
        <f>VLOOKUP($A23,'NG-Nov-Bill'!$A$15:$X$96,15)</f>
        <v>12</v>
      </c>
      <c r="M23" s="35">
        <f>VLOOKUP($A23,'NG-Dec-Bill'!$A$15:$X$96,15)</f>
        <v>25</v>
      </c>
      <c r="O23" s="35">
        <f t="shared" si="0"/>
        <v>240</v>
      </c>
    </row>
    <row r="24" spans="1:15">
      <c r="A24" s="39">
        <v>852028007</v>
      </c>
      <c r="B24" s="35">
        <f>VLOOKUP($A24,'NG-Jan-Bill'!$A$15:$X$96,15)</f>
        <v>0</v>
      </c>
      <c r="C24" s="35">
        <f>VLOOKUP($A24,'NG-Feb-Bill'!$A$15:$X$96,15)</f>
        <v>0</v>
      </c>
      <c r="D24" s="35">
        <f>VLOOKUP($A24,'NG_Mar-Bill'!$A$15:$X$96,15)</f>
        <v>0</v>
      </c>
      <c r="E24" s="35">
        <f>VLOOKUP($A24,'NG-Apr-Bill'!$A$15:$X$96,15)</f>
        <v>0</v>
      </c>
      <c r="F24" s="35">
        <f>VLOOKUP($A24,'NG-May-Bill'!$A$15:$X$96,15)</f>
        <v>0</v>
      </c>
      <c r="G24" s="35">
        <f>VLOOKUP($A24,'NG-Jun-Bill'!$A$15:$X$96,15)</f>
        <v>0</v>
      </c>
      <c r="H24" s="35">
        <f>VLOOKUP($A24,'NG-Jul-Bill'!$A$15:$X$96,15)</f>
        <v>0</v>
      </c>
      <c r="I24" s="35">
        <f>VLOOKUP($A24,'NG-Aug-Bill'!$A$15:$X$96,15)</f>
        <v>0</v>
      </c>
      <c r="J24" s="35">
        <f>VLOOKUP($A24,'NG-Sept-Bill'!$A$15:$X$96,15)</f>
        <v>0</v>
      </c>
      <c r="K24" s="35">
        <f>VLOOKUP($A24,'NG-Oct-Bill'!$A$15:$X$96,15)</f>
        <v>0</v>
      </c>
      <c r="L24" s="35">
        <f>VLOOKUP($A24,'NG-Nov-Bill'!$A$15:$X$96,15)</f>
        <v>0</v>
      </c>
      <c r="M24" s="35">
        <f>VLOOKUP($A24,'NG-Dec-Bill'!$A$15:$X$96,15)</f>
        <v>0</v>
      </c>
      <c r="O24" s="35">
        <f t="shared" si="0"/>
        <v>0</v>
      </c>
    </row>
    <row r="25" spans="1:15">
      <c r="A25" s="39">
        <v>893816110</v>
      </c>
      <c r="B25" s="35">
        <f>VLOOKUP($A25,'NG-Jan-Bill'!$A$15:$X$96,15)</f>
        <v>139</v>
      </c>
      <c r="C25" s="35">
        <f>VLOOKUP($A25,'NG-Feb-Bill'!$A$15:$X$96,15)</f>
        <v>95</v>
      </c>
      <c r="D25" s="35">
        <f>VLOOKUP($A25,'NG_Mar-Bill'!$A$15:$X$96,15)</f>
        <v>118</v>
      </c>
      <c r="E25" s="35">
        <f>VLOOKUP($A25,'NG-Apr-Bill'!$A$15:$X$96,15)</f>
        <v>102</v>
      </c>
      <c r="F25" s="35">
        <f>VLOOKUP($A25,'NG-May-Bill'!$A$15:$X$96,15)</f>
        <v>104</v>
      </c>
      <c r="G25" s="35">
        <f>VLOOKUP($A25,'NG-Jun-Bill'!$A$15:$X$96,15)</f>
        <v>105</v>
      </c>
      <c r="H25" s="35">
        <f>VLOOKUP($A25,'NG-Jul-Bill'!$A$15:$X$96,15)</f>
        <v>92</v>
      </c>
      <c r="I25" s="35">
        <f>VLOOKUP($A25,'NG-Aug-Bill'!$A$15:$X$96,15)</f>
        <v>85</v>
      </c>
      <c r="J25" s="35">
        <f>VLOOKUP($A25,'NG-Sept-Bill'!$A$15:$X$96,15)</f>
        <v>90</v>
      </c>
      <c r="K25" s="35">
        <f>VLOOKUP($A25,'NG-Oct-Bill'!$A$15:$X$96,15)</f>
        <v>90</v>
      </c>
      <c r="L25" s="35">
        <f>VLOOKUP($A25,'NG-Nov-Bill'!$A$15:$X$96,15)</f>
        <v>101</v>
      </c>
      <c r="M25" s="35">
        <f>VLOOKUP($A25,'NG-Dec-Bill'!$A$15:$X$96,15)</f>
        <v>125</v>
      </c>
      <c r="O25" s="35">
        <f t="shared" si="0"/>
        <v>1246</v>
      </c>
    </row>
    <row r="26" spans="1:15">
      <c r="A26" s="39">
        <v>893819102</v>
      </c>
      <c r="B26" s="35">
        <f>VLOOKUP($A26,'NG-Jan-Bill'!$A$15:$X$96,15)</f>
        <v>0</v>
      </c>
      <c r="C26" s="35">
        <f>VLOOKUP($A26,'NG-Feb-Bill'!$A$15:$X$96,15)</f>
        <v>0</v>
      </c>
      <c r="D26" s="35">
        <f>VLOOKUP($A26,'NG_Mar-Bill'!$A$15:$X$96,15)</f>
        <v>0</v>
      </c>
      <c r="E26" s="35">
        <f>VLOOKUP($A26,'NG-Apr-Bill'!$A$15:$X$96,15)</f>
        <v>0</v>
      </c>
      <c r="F26" s="35">
        <f>VLOOKUP($A26,'NG-May-Bill'!$A$15:$X$96,15)</f>
        <v>0</v>
      </c>
      <c r="G26" s="35">
        <f>VLOOKUP($A26,'NG-Jun-Bill'!$A$15:$X$96,15)</f>
        <v>0</v>
      </c>
      <c r="H26" s="35">
        <f>VLOOKUP($A26,'NG-Jul-Bill'!$A$15:$X$96,15)</f>
        <v>0</v>
      </c>
      <c r="I26" s="35">
        <f>VLOOKUP($A26,'NG-Aug-Bill'!$A$15:$X$96,15)</f>
        <v>0</v>
      </c>
      <c r="J26" s="35">
        <f>VLOOKUP($A26,'NG-Sept-Bill'!$A$15:$X$96,15)</f>
        <v>0</v>
      </c>
      <c r="K26" s="35">
        <f>VLOOKUP($A26,'NG-Oct-Bill'!$A$15:$X$96,15)</f>
        <v>0</v>
      </c>
      <c r="L26" s="35">
        <f>VLOOKUP($A26,'NG-Nov-Bill'!$A$15:$X$96,15)</f>
        <v>0</v>
      </c>
      <c r="M26" s="35">
        <f>VLOOKUP($A26,'NG-Dec-Bill'!$A$15:$X$96,15)</f>
        <v>0</v>
      </c>
      <c r="O26" s="35">
        <f t="shared" si="0"/>
        <v>0</v>
      </c>
    </row>
    <row r="27" spans="1:15">
      <c r="A27" s="39">
        <v>913819100</v>
      </c>
      <c r="B27" s="35">
        <f>VLOOKUP($A27,'NG-Jan-Bill'!$A$15:$X$96,15)</f>
        <v>0</v>
      </c>
      <c r="C27" s="35">
        <f>VLOOKUP($A27,'NG-Feb-Bill'!$A$15:$X$96,15)</f>
        <v>0</v>
      </c>
      <c r="D27" s="35">
        <f>VLOOKUP($A27,'NG_Mar-Bill'!$A$15:$X$96,15)</f>
        <v>0</v>
      </c>
      <c r="E27" s="35">
        <f>VLOOKUP($A27,'NG-Apr-Bill'!$A$15:$X$96,15)</f>
        <v>0</v>
      </c>
      <c r="F27" s="35">
        <f>VLOOKUP($A27,'NG-May-Bill'!$A$15:$X$96,15)</f>
        <v>0</v>
      </c>
      <c r="G27" s="35">
        <f>VLOOKUP($A27,'NG-Jun-Bill'!$A$15:$X$96,15)</f>
        <v>0</v>
      </c>
      <c r="H27" s="35">
        <f>VLOOKUP($A27,'NG-Jul-Bill'!$A$15:$X$96,15)</f>
        <v>0</v>
      </c>
      <c r="I27" s="35">
        <f>VLOOKUP($A27,'NG-Aug-Bill'!$A$15:$X$96,15)</f>
        <v>0</v>
      </c>
      <c r="J27" s="35">
        <f>VLOOKUP($A27,'NG-Sept-Bill'!$A$15:$X$96,15)</f>
        <v>0</v>
      </c>
      <c r="K27" s="35">
        <f>VLOOKUP($A27,'NG-Oct-Bill'!$A$15:$X$96,15)</f>
        <v>0</v>
      </c>
      <c r="L27" s="35">
        <f>VLOOKUP($A27,'NG-Nov-Bill'!$A$15:$X$96,15)</f>
        <v>0</v>
      </c>
      <c r="M27" s="35">
        <f>VLOOKUP($A27,'NG-Dec-Bill'!$A$15:$X$96,15)</f>
        <v>0</v>
      </c>
      <c r="O27" s="35">
        <f t="shared" si="0"/>
        <v>0</v>
      </c>
    </row>
    <row r="28" spans="1:15">
      <c r="A28" s="39">
        <v>933819115</v>
      </c>
      <c r="B28" s="35">
        <f>VLOOKUP($A28,'NG-Jan-Bill'!$A$15:$X$96,15)</f>
        <v>0</v>
      </c>
      <c r="C28" s="35">
        <f>VLOOKUP($A28,'NG-Feb-Bill'!$A$15:$X$96,15)</f>
        <v>0</v>
      </c>
      <c r="D28" s="35">
        <f>VLOOKUP($A28,'NG_Mar-Bill'!$A$15:$X$96,15)</f>
        <v>0</v>
      </c>
      <c r="E28" s="35">
        <f>VLOOKUP($A28,'NG-Apr-Bill'!$A$15:$X$96,15)</f>
        <v>0</v>
      </c>
      <c r="F28" s="35">
        <f>VLOOKUP($A28,'NG-May-Bill'!$A$15:$X$96,15)</f>
        <v>0</v>
      </c>
      <c r="G28" s="35">
        <f>VLOOKUP($A28,'NG-Jun-Bill'!$A$15:$X$96,15)</f>
        <v>0</v>
      </c>
      <c r="H28" s="35">
        <f>VLOOKUP($A28,'NG-Jul-Bill'!$A$15:$X$96,15)</f>
        <v>0</v>
      </c>
      <c r="I28" s="35">
        <f>VLOOKUP($A28,'NG-Aug-Bill'!$A$15:$X$96,15)</f>
        <v>0</v>
      </c>
      <c r="J28" s="35">
        <f>VLOOKUP($A28,'NG-Sept-Bill'!$A$15:$X$96,15)</f>
        <v>0</v>
      </c>
      <c r="K28" s="35">
        <f>VLOOKUP($A28,'NG-Oct-Bill'!$A$15:$X$96,15)</f>
        <v>0</v>
      </c>
      <c r="L28" s="35">
        <f>VLOOKUP($A28,'NG-Nov-Bill'!$A$15:$X$96,15)</f>
        <v>0</v>
      </c>
      <c r="M28" s="35">
        <f>VLOOKUP($A28,'NG-Dec-Bill'!$A$15:$X$96,15)</f>
        <v>0</v>
      </c>
      <c r="O28" s="35">
        <f t="shared" si="0"/>
        <v>0</v>
      </c>
    </row>
    <row r="29" spans="1:15">
      <c r="A29" s="39">
        <v>948810124</v>
      </c>
      <c r="B29" s="35">
        <f>VLOOKUP($A29,'NG-Jan-Bill'!$A$15:$X$96,15)</f>
        <v>483</v>
      </c>
      <c r="C29" s="35">
        <f>VLOOKUP($A29,'NG-Feb-Bill'!$A$15:$X$96,15)</f>
        <v>471</v>
      </c>
      <c r="D29" s="35">
        <f>VLOOKUP($A29,'NG_Mar-Bill'!$A$15:$X$96,15)</f>
        <v>429</v>
      </c>
      <c r="E29" s="35">
        <f>VLOOKUP($A29,'NG-Apr-Bill'!$A$15:$X$96,15)</f>
        <v>558</v>
      </c>
      <c r="F29" s="35">
        <f>VLOOKUP($A29,'NG-May-Bill'!$A$15:$X$96,15)</f>
        <v>529</v>
      </c>
      <c r="G29" s="35">
        <f>VLOOKUP($A29,'NG-Jun-Bill'!$A$15:$X$96,15)</f>
        <v>639</v>
      </c>
      <c r="H29" s="35">
        <f>VLOOKUP($A29,'NG-Jul-Bill'!$A$15:$X$96,15)</f>
        <v>713</v>
      </c>
      <c r="I29" s="35">
        <f>VLOOKUP($A29,'NG-Aug-Bill'!$A$15:$X$96,15)</f>
        <v>394</v>
      </c>
      <c r="J29" s="35">
        <f>VLOOKUP($A29,'NG-Sept-Bill'!$A$15:$X$96,15)</f>
        <v>369</v>
      </c>
      <c r="K29" s="35">
        <f>VLOOKUP($A29,'NG-Oct-Bill'!$A$15:$X$96,15)</f>
        <v>296</v>
      </c>
      <c r="L29" s="35">
        <f>VLOOKUP($A29,'NG-Nov-Bill'!$A$15:$X$96,15)</f>
        <v>258</v>
      </c>
      <c r="M29" s="35">
        <f>VLOOKUP($A29,'NG-Dec-Bill'!$A$15:$X$96,15)</f>
        <v>296</v>
      </c>
      <c r="O29" s="35">
        <f t="shared" si="0"/>
        <v>5435</v>
      </c>
    </row>
    <row r="30" spans="1:15">
      <c r="A30" s="40">
        <v>1028809119</v>
      </c>
      <c r="B30" s="35">
        <f>VLOOKUP($A30,'NG-Jan-Bill'!$A$15:$X$96,15)</f>
        <v>0</v>
      </c>
      <c r="C30" s="35">
        <f>VLOOKUP($A30,'NG-Feb-Bill'!$A$15:$X$96,15)</f>
        <v>0</v>
      </c>
      <c r="D30" s="35">
        <f>VLOOKUP($A30,'NG_Mar-Bill'!$A$15:$X$96,15)</f>
        <v>0</v>
      </c>
      <c r="E30" s="35">
        <f>VLOOKUP($A30,'NG-Apr-Bill'!$A$15:$X$96,15)</f>
        <v>0</v>
      </c>
      <c r="F30" s="35">
        <f>VLOOKUP($A30,'NG-May-Bill'!$A$15:$X$96,15)</f>
        <v>0</v>
      </c>
      <c r="G30" s="35">
        <f>VLOOKUP($A30,'NG-Jun-Bill'!$A$15:$X$96,15)</f>
        <v>0</v>
      </c>
      <c r="H30" s="35">
        <f>VLOOKUP($A30,'NG-Jul-Bill'!$A$15:$X$96,15)</f>
        <v>0</v>
      </c>
      <c r="I30" s="35">
        <f>VLOOKUP($A30,'NG-Aug-Bill'!$A$15:$X$96,15)</f>
        <v>0</v>
      </c>
      <c r="J30" s="35">
        <f>VLOOKUP($A30,'NG-Sept-Bill'!$A$15:$X$96,15)</f>
        <v>0</v>
      </c>
      <c r="K30" s="35">
        <f>VLOOKUP($A30,'NG-Oct-Bill'!$A$15:$X$96,15)</f>
        <v>0</v>
      </c>
      <c r="L30" s="35">
        <f>VLOOKUP($A30,'NG-Nov-Bill'!$A$15:$X$96,15)</f>
        <v>0</v>
      </c>
      <c r="M30" s="35">
        <f>VLOOKUP($A30,'NG-Dec-Bill'!$A$15:$X$96,15)</f>
        <v>0</v>
      </c>
      <c r="O30" s="35">
        <f t="shared" si="0"/>
        <v>0</v>
      </c>
    </row>
    <row r="31" spans="1:15">
      <c r="A31" s="40">
        <v>1133133008</v>
      </c>
      <c r="B31" s="35">
        <f>VLOOKUP($A31,'NG-Jan-Bill'!$A$15:$X$96,15)</f>
        <v>158</v>
      </c>
      <c r="C31" s="35">
        <f>VLOOKUP($A31,'NG-Feb-Bill'!$A$15:$X$96,15)</f>
        <v>141</v>
      </c>
      <c r="D31" s="35">
        <f>VLOOKUP($A31,'NG_Mar-Bill'!$A$15:$X$96,15)</f>
        <v>156</v>
      </c>
      <c r="E31" s="35">
        <f>VLOOKUP($A31,'NG-Apr-Bill'!$A$15:$X$96,15)</f>
        <v>149</v>
      </c>
      <c r="F31" s="35">
        <f>VLOOKUP($A31,'NG-May-Bill'!$A$15:$X$96,15)</f>
        <v>161</v>
      </c>
      <c r="G31" s="35">
        <f>VLOOKUP($A31,'NG-Jun-Bill'!$A$15:$X$96,15)</f>
        <v>173</v>
      </c>
      <c r="H31" s="35">
        <f>VLOOKUP($A31,'NG-Jul-Bill'!$A$15:$X$96,15)</f>
        <v>157</v>
      </c>
      <c r="I31" s="35">
        <f>VLOOKUP($A31,'NG-Aug-Bill'!$A$15:$X$96,15)</f>
        <v>166</v>
      </c>
      <c r="J31" s="35">
        <f>VLOOKUP($A31,'NG-Sept-Bill'!$A$15:$X$96,15)</f>
        <v>149</v>
      </c>
      <c r="K31" s="35">
        <f>VLOOKUP($A31,'NG-Oct-Bill'!$A$15:$X$96,15)</f>
        <v>146</v>
      </c>
      <c r="L31" s="35">
        <f>VLOOKUP($A31,'NG-Nov-Bill'!$A$15:$X$96,15)</f>
        <v>142</v>
      </c>
      <c r="M31" s="35">
        <f>VLOOKUP($A31,'NG-Dec-Bill'!$A$15:$X$96,15)</f>
        <v>164</v>
      </c>
      <c r="O31" s="35">
        <f t="shared" si="0"/>
        <v>1862</v>
      </c>
    </row>
    <row r="32" spans="1:15">
      <c r="A32" s="40">
        <v>1133819101</v>
      </c>
      <c r="B32" s="35">
        <f>VLOOKUP($A32,'NG-Jan-Bill'!$A$15:$X$96,15)</f>
        <v>492</v>
      </c>
      <c r="C32" s="35">
        <f>VLOOKUP($A32,'NG-Feb-Bill'!$A$15:$X$96,15)</f>
        <v>408</v>
      </c>
      <c r="D32" s="35">
        <f>VLOOKUP($A32,'NG_Mar-Bill'!$A$15:$X$96,15)</f>
        <v>421</v>
      </c>
      <c r="E32" s="35">
        <f>VLOOKUP($A32,'NG-Apr-Bill'!$A$15:$X$96,15)</f>
        <v>468</v>
      </c>
      <c r="F32" s="35">
        <f>VLOOKUP($A32,'NG-May-Bill'!$A$15:$X$96,15)</f>
        <v>446</v>
      </c>
      <c r="G32" s="35">
        <f>VLOOKUP($A32,'NG-Jun-Bill'!$A$15:$X$96,15)</f>
        <v>466</v>
      </c>
      <c r="H32" s="35">
        <f>VLOOKUP($A32,'NG-Jul-Bill'!$A$15:$X$96,15)</f>
        <v>448</v>
      </c>
      <c r="I32" s="35">
        <f>VLOOKUP($A32,'NG-Aug-Bill'!$A$15:$X$96,15)</f>
        <v>493</v>
      </c>
      <c r="J32" s="35">
        <f>VLOOKUP($A32,'NG-Sept-Bill'!$A$15:$X$96,15)</f>
        <v>412</v>
      </c>
      <c r="K32" s="35">
        <f>VLOOKUP($A32,'NG-Oct-Bill'!$A$15:$X$96,15)</f>
        <v>419</v>
      </c>
      <c r="L32" s="35">
        <f>VLOOKUP($A32,'NG-Nov-Bill'!$A$15:$X$96,15)</f>
        <v>422</v>
      </c>
      <c r="M32" s="35">
        <f>VLOOKUP($A32,'NG-Dec-Bill'!$A$15:$X$96,15)</f>
        <v>468</v>
      </c>
      <c r="O32" s="35">
        <f t="shared" si="0"/>
        <v>5363</v>
      </c>
    </row>
    <row r="33" spans="1:15">
      <c r="A33" s="40">
        <v>1193808115</v>
      </c>
      <c r="B33" s="35">
        <f>VLOOKUP($A33,'NG-Jan-Bill'!$A$15:$X$96,15)</f>
        <v>119</v>
      </c>
      <c r="C33" s="35">
        <f>VLOOKUP($A33,'NG-Feb-Bill'!$A$15:$X$96,15)</f>
        <v>205</v>
      </c>
      <c r="D33" s="35">
        <f>VLOOKUP($A33,'NG_Mar-Bill'!$A$15:$X$96,15)</f>
        <v>638</v>
      </c>
      <c r="E33" s="35">
        <f>VLOOKUP($A33,'NG-Apr-Bill'!$A$15:$X$96,15)</f>
        <v>522</v>
      </c>
      <c r="F33" s="35">
        <f>VLOOKUP($A33,'NG-May-Bill'!$A$15:$X$96,15)</f>
        <v>284</v>
      </c>
      <c r="G33" s="35">
        <f>VLOOKUP($A33,'NG-Jun-Bill'!$A$15:$X$96,15)</f>
        <v>102</v>
      </c>
      <c r="H33" s="35">
        <f>VLOOKUP($A33,'NG-Jul-Bill'!$A$15:$X$96,15)</f>
        <v>71</v>
      </c>
      <c r="I33" s="35">
        <f>VLOOKUP($A33,'NG-Aug-Bill'!$A$15:$X$96,15)</f>
        <v>70</v>
      </c>
      <c r="J33" s="35">
        <f>VLOOKUP($A33,'NG-Sept-Bill'!$A$15:$X$96,15)</f>
        <v>73</v>
      </c>
      <c r="K33" s="35">
        <f>VLOOKUP($A33,'NG-Oct-Bill'!$A$15:$X$96,15)</f>
        <v>105</v>
      </c>
      <c r="L33" s="35">
        <f>VLOOKUP($A33,'NG-Nov-Bill'!$A$15:$X$96,15)</f>
        <v>302</v>
      </c>
      <c r="M33" s="35">
        <f>VLOOKUP($A33,'NG-Dec-Bill'!$A$15:$X$96,15)</f>
        <v>639</v>
      </c>
      <c r="O33" s="35">
        <f t="shared" si="0"/>
        <v>3130</v>
      </c>
    </row>
    <row r="34" spans="1:15">
      <c r="A34" s="40">
        <v>1492627005</v>
      </c>
      <c r="B34" s="35">
        <f>VLOOKUP($A34,'NG-Jan-Bill'!$A$15:$X$96,15)</f>
        <v>92</v>
      </c>
      <c r="C34" s="35">
        <f>VLOOKUP($A34,'NG-Feb-Bill'!$A$15:$X$96,15)</f>
        <v>79</v>
      </c>
      <c r="D34" s="35">
        <f>VLOOKUP($A34,'NG_Mar-Bill'!$A$15:$X$96,15)</f>
        <v>86</v>
      </c>
      <c r="E34" s="35">
        <f>VLOOKUP($A34,'NG-Apr-Bill'!$A$15:$X$96,15)</f>
        <v>94</v>
      </c>
      <c r="F34" s="35">
        <f>VLOOKUP($A34,'NG-May-Bill'!$A$15:$X$96,15)</f>
        <v>87</v>
      </c>
      <c r="G34" s="35">
        <f>VLOOKUP($A34,'NG-Jun-Bill'!$A$15:$X$96,15)</f>
        <v>100</v>
      </c>
      <c r="H34" s="35">
        <f>VLOOKUP($A34,'NG-Jul-Bill'!$A$15:$X$96,15)</f>
        <v>85</v>
      </c>
      <c r="I34" s="35">
        <f>VLOOKUP($A34,'NG-Aug-Bill'!$A$15:$X$96,15)</f>
        <v>86</v>
      </c>
      <c r="J34" s="35">
        <f>VLOOKUP($A34,'NG-Sept-Bill'!$A$15:$X$96,15)</f>
        <v>94</v>
      </c>
      <c r="K34" s="35">
        <f>VLOOKUP($A34,'NG-Oct-Bill'!$A$15:$X$96,15)</f>
        <v>81</v>
      </c>
      <c r="L34" s="35">
        <f>VLOOKUP($A34,'NG-Nov-Bill'!$A$15:$X$96,15)</f>
        <v>88</v>
      </c>
      <c r="M34" s="35">
        <f>VLOOKUP($A34,'NG-Dec-Bill'!$A$15:$X$96,15)</f>
        <v>95</v>
      </c>
      <c r="O34" s="35">
        <f t="shared" si="0"/>
        <v>1067</v>
      </c>
    </row>
    <row r="35" spans="1:15">
      <c r="A35" s="40">
        <v>1513818115</v>
      </c>
      <c r="B35" s="35">
        <f>VLOOKUP($A35,'NG-Jan-Bill'!$A$15:$X$96,15)</f>
        <v>199</v>
      </c>
      <c r="C35" s="35">
        <f>VLOOKUP($A35,'NG-Feb-Bill'!$A$15:$X$96,15)</f>
        <v>186</v>
      </c>
      <c r="D35" s="35">
        <f>VLOOKUP($A35,'NG_Mar-Bill'!$A$15:$X$96,15)</f>
        <v>183</v>
      </c>
      <c r="E35" s="35">
        <f>VLOOKUP($A35,'NG-Apr-Bill'!$A$15:$X$96,15)</f>
        <v>205</v>
      </c>
      <c r="F35" s="35">
        <f>VLOOKUP($A35,'NG-May-Bill'!$A$15:$X$96,15)</f>
        <v>181</v>
      </c>
      <c r="G35" s="35">
        <f>VLOOKUP($A35,'NG-Jun-Bill'!$A$15:$X$96,15)</f>
        <v>205</v>
      </c>
      <c r="H35" s="35">
        <f>VLOOKUP($A35,'NG-Jul-Bill'!$A$15:$X$96,15)</f>
        <v>175</v>
      </c>
      <c r="I35" s="35">
        <f>VLOOKUP($A35,'NG-Aug-Bill'!$A$15:$X$96,15)</f>
        <v>147</v>
      </c>
      <c r="J35" s="35">
        <f>VLOOKUP($A35,'NG-Sept-Bill'!$A$15:$X$96,15)</f>
        <v>109</v>
      </c>
      <c r="K35" s="35">
        <f>VLOOKUP($A35,'NG-Oct-Bill'!$A$15:$X$96,15)</f>
        <v>112</v>
      </c>
      <c r="L35" s="35">
        <f>VLOOKUP($A35,'NG-Nov-Bill'!$A$15:$X$96,15)</f>
        <v>153</v>
      </c>
      <c r="M35" s="35">
        <f>VLOOKUP($A35,'NG-Dec-Bill'!$A$15:$X$96,15)</f>
        <v>169</v>
      </c>
      <c r="O35" s="35">
        <f t="shared" si="0"/>
        <v>2024</v>
      </c>
    </row>
    <row r="36" spans="1:15">
      <c r="A36" s="40">
        <v>1608811106</v>
      </c>
      <c r="B36" s="35">
        <f>VLOOKUP($A36,'NG-Jan-Bill'!$A$15:$X$96,15)</f>
        <v>1117</v>
      </c>
      <c r="C36" s="35">
        <f>VLOOKUP($A36,'NG-Feb-Bill'!$A$15:$X$96,15)</f>
        <v>731</v>
      </c>
      <c r="D36" s="35">
        <f>VLOOKUP($A36,'NG_Mar-Bill'!$A$15:$X$96,15)</f>
        <v>859</v>
      </c>
      <c r="E36" s="35">
        <f>VLOOKUP($A36,'NG-Apr-Bill'!$A$15:$X$96,15)</f>
        <v>1375</v>
      </c>
      <c r="F36" s="35">
        <f>VLOOKUP($A36,'NG-May-Bill'!$A$15:$X$96,15)</f>
        <v>3492</v>
      </c>
      <c r="G36" s="35">
        <f>VLOOKUP($A36,'NG-Jun-Bill'!$A$15:$X$96,15)</f>
        <v>5098</v>
      </c>
      <c r="H36" s="35">
        <f>VLOOKUP($A36,'NG-Jul-Bill'!$A$15:$X$96,15)</f>
        <v>5096</v>
      </c>
      <c r="I36" s="35">
        <f>VLOOKUP($A36,'NG-Aug-Bill'!$A$15:$X$96,15)</f>
        <v>5765</v>
      </c>
      <c r="J36" s="35">
        <f>VLOOKUP($A36,'NG-Sept-Bill'!$A$15:$X$96,15)</f>
        <v>3725</v>
      </c>
      <c r="K36" s="35">
        <f>VLOOKUP($A36,'NG-Oct-Bill'!$A$15:$X$96,15)</f>
        <v>3604</v>
      </c>
      <c r="L36" s="35">
        <f>VLOOKUP($A36,'NG-Nov-Bill'!$A$15:$X$96,15)</f>
        <v>3040</v>
      </c>
      <c r="M36" s="35">
        <f>VLOOKUP($A36,'NG-Dec-Bill'!$A$15:$X$96,15)</f>
        <v>406</v>
      </c>
      <c r="O36" s="35">
        <f t="shared" si="0"/>
        <v>34308</v>
      </c>
    </row>
    <row r="37" spans="1:15">
      <c r="A37" s="40">
        <v>1653819107</v>
      </c>
      <c r="B37" s="35">
        <f>VLOOKUP($A37,'NG-Jan-Bill'!$A$15:$X$96,15)</f>
        <v>921</v>
      </c>
      <c r="C37" s="35">
        <f>VLOOKUP($A37,'NG-Feb-Bill'!$A$15:$X$96,15)</f>
        <v>830</v>
      </c>
      <c r="D37" s="35">
        <f>VLOOKUP($A37,'NG_Mar-Bill'!$A$15:$X$96,15)</f>
        <v>821</v>
      </c>
      <c r="E37" s="35">
        <f>VLOOKUP($A37,'NG-Apr-Bill'!$A$15:$X$96,15)</f>
        <v>910</v>
      </c>
      <c r="F37" s="35">
        <f>VLOOKUP($A37,'NG-May-Bill'!$A$15:$X$96,15)</f>
        <v>869</v>
      </c>
      <c r="G37" s="35">
        <f>VLOOKUP($A37,'NG-Jun-Bill'!$A$15:$X$96,15)</f>
        <v>892</v>
      </c>
      <c r="H37" s="35">
        <f>VLOOKUP($A37,'NG-Jul-Bill'!$A$15:$X$96,15)</f>
        <v>830</v>
      </c>
      <c r="I37" s="35">
        <f>VLOOKUP($A37,'NG-Aug-Bill'!$A$15:$X$96,15)</f>
        <v>938</v>
      </c>
      <c r="J37" s="35">
        <f>VLOOKUP($A37,'NG-Sept-Bill'!$A$15:$X$96,15)</f>
        <v>757</v>
      </c>
      <c r="K37" s="35">
        <f>VLOOKUP($A37,'NG-Oct-Bill'!$A$15:$X$96,15)</f>
        <v>810</v>
      </c>
      <c r="L37" s="35">
        <f>VLOOKUP($A37,'NG-Nov-Bill'!$A$15:$X$96,15)</f>
        <v>812</v>
      </c>
      <c r="M37" s="35">
        <f>VLOOKUP($A37,'NG-Dec-Bill'!$A$15:$X$96,15)</f>
        <v>911</v>
      </c>
      <c r="O37" s="35">
        <f t="shared" si="0"/>
        <v>10301</v>
      </c>
    </row>
    <row r="38" spans="1:15">
      <c r="A38" s="40">
        <v>1833820108</v>
      </c>
      <c r="B38" s="35">
        <f>VLOOKUP($A38,'NG-Jan-Bill'!$A$15:$X$96,15)</f>
        <v>956</v>
      </c>
      <c r="C38" s="35">
        <f>VLOOKUP($A38,'NG-Feb-Bill'!$A$15:$X$96,15)</f>
        <v>837</v>
      </c>
      <c r="D38" s="35">
        <f>VLOOKUP($A38,'NG_Mar-Bill'!$A$15:$X$96,15)</f>
        <v>835</v>
      </c>
      <c r="E38" s="35">
        <f>VLOOKUP($A38,'NG-Apr-Bill'!$A$15:$X$96,15)</f>
        <v>937</v>
      </c>
      <c r="F38" s="35">
        <f>VLOOKUP($A38,'NG-May-Bill'!$A$15:$X$96,15)</f>
        <v>895</v>
      </c>
      <c r="G38" s="35">
        <f>VLOOKUP($A38,'NG-Jun-Bill'!$A$15:$X$96,15)</f>
        <v>908</v>
      </c>
      <c r="H38" s="35">
        <f>VLOOKUP($A38,'NG-Jul-Bill'!$A$15:$X$96,15)</f>
        <v>843</v>
      </c>
      <c r="I38" s="35">
        <f>VLOOKUP($A38,'NG-Aug-Bill'!$A$15:$X$96,15)</f>
        <v>923</v>
      </c>
      <c r="J38" s="35">
        <f>VLOOKUP($A38,'NG-Sept-Bill'!$A$15:$X$96,15)</f>
        <v>804</v>
      </c>
      <c r="K38" s="35">
        <f>VLOOKUP($A38,'NG-Oct-Bill'!$A$15:$X$96,15)</f>
        <v>828</v>
      </c>
      <c r="L38" s="35">
        <f>VLOOKUP($A38,'NG-Nov-Bill'!$A$15:$X$96,15)</f>
        <v>826</v>
      </c>
      <c r="M38" s="35">
        <f>VLOOKUP($A38,'NG-Dec-Bill'!$A$15:$X$96,15)</f>
        <v>913</v>
      </c>
      <c r="O38" s="35">
        <f t="shared" si="0"/>
        <v>10505</v>
      </c>
    </row>
    <row r="39" spans="1:15">
      <c r="A39" s="40">
        <v>1851009009</v>
      </c>
      <c r="B39" s="35">
        <f>VLOOKUP($A39,'NG-Jan-Bill'!$A$15:$X$96,15)</f>
        <v>477</v>
      </c>
      <c r="C39" s="35">
        <f>VLOOKUP($A39,'NG-Feb-Bill'!$A$15:$X$96,15)</f>
        <v>422</v>
      </c>
      <c r="D39" s="35">
        <f>VLOOKUP($A39,'NG_Mar-Bill'!$A$15:$X$96,15)</f>
        <v>420</v>
      </c>
      <c r="E39" s="35">
        <f>VLOOKUP($A39,'NG-Apr-Bill'!$A$15:$X$96,15)</f>
        <v>468</v>
      </c>
      <c r="F39" s="35">
        <f>VLOOKUP($A39,'NG-May-Bill'!$A$15:$X$96,15)</f>
        <v>454</v>
      </c>
      <c r="G39" s="35">
        <f>VLOOKUP($A39,'NG-Jun-Bill'!$A$15:$X$96,15)</f>
        <v>454</v>
      </c>
      <c r="H39" s="35">
        <f>VLOOKUP($A39,'NG-Jul-Bill'!$A$15:$X$96,15)</f>
        <v>431</v>
      </c>
      <c r="I39" s="35">
        <f>VLOOKUP($A39,'NG-Aug-Bill'!$A$15:$X$96,15)</f>
        <v>473</v>
      </c>
      <c r="J39" s="35">
        <f>VLOOKUP($A39,'NG-Sept-Bill'!$A$15:$X$96,15)</f>
        <v>399</v>
      </c>
      <c r="K39" s="35">
        <f>VLOOKUP($A39,'NG-Oct-Bill'!$A$15:$X$96,15)</f>
        <v>412</v>
      </c>
      <c r="L39" s="35">
        <f>VLOOKUP($A39,'NG-Nov-Bill'!$A$15:$X$96,15)</f>
        <v>411</v>
      </c>
      <c r="M39" s="35">
        <f>VLOOKUP($A39,'NG-Dec-Bill'!$A$15:$X$96,15)</f>
        <v>457</v>
      </c>
      <c r="O39" s="35">
        <f t="shared" si="0"/>
        <v>5278</v>
      </c>
    </row>
    <row r="40" spans="1:15">
      <c r="A40" s="40">
        <v>1933810131</v>
      </c>
      <c r="B40" s="35">
        <f>VLOOKUP($A40,'NG-Jan-Bill'!$A$15:$X$96,15)</f>
        <v>596</v>
      </c>
      <c r="C40" s="35">
        <f>VLOOKUP($A40,'NG-Feb-Bill'!$A$15:$X$96,15)</f>
        <v>732</v>
      </c>
      <c r="D40" s="35">
        <f>VLOOKUP($A40,'NG_Mar-Bill'!$A$15:$X$96,15)</f>
        <v>607</v>
      </c>
      <c r="E40" s="35">
        <f>VLOOKUP($A40,'NG-Apr-Bill'!$A$15:$X$96,15)</f>
        <v>496</v>
      </c>
      <c r="F40" s="35">
        <f>VLOOKUP($A40,'NG-May-Bill'!$A$15:$X$96,15)</f>
        <v>1977</v>
      </c>
      <c r="G40" s="35">
        <f>VLOOKUP($A40,'NG-Jun-Bill'!$A$15:$X$96,15)</f>
        <v>10186</v>
      </c>
      <c r="H40" s="35">
        <f>VLOOKUP($A40,'NG-Jul-Bill'!$A$15:$X$96,15)</f>
        <v>10544</v>
      </c>
      <c r="I40" s="35">
        <f>VLOOKUP($A40,'NG-Aug-Bill'!$A$15:$X$96,15)</f>
        <v>11271</v>
      </c>
      <c r="J40" s="35">
        <f>VLOOKUP($A40,'NG-Sept-Bill'!$A$15:$X$96,15)</f>
        <v>8083</v>
      </c>
      <c r="K40" s="35">
        <f>VLOOKUP($A40,'NG-Oct-Bill'!$A$15:$X$96,15)</f>
        <v>399</v>
      </c>
      <c r="L40" s="35">
        <f>VLOOKUP($A40,'NG-Nov-Bill'!$A$15:$X$96,15)</f>
        <v>399</v>
      </c>
      <c r="M40" s="35">
        <f>VLOOKUP($A40,'NG-Dec-Bill'!$A$15:$X$96,15)</f>
        <v>546</v>
      </c>
      <c r="O40" s="35">
        <f t="shared" si="0"/>
        <v>45836</v>
      </c>
    </row>
    <row r="41" spans="1:15">
      <c r="A41" s="40">
        <v>2133819102</v>
      </c>
      <c r="B41" s="35">
        <f>VLOOKUP($A41,'NG-Jan-Bill'!$A$15:$X$96,15)</f>
        <v>2048</v>
      </c>
      <c r="C41" s="35">
        <f>VLOOKUP($A41,'NG-Feb-Bill'!$A$15:$X$96,15)</f>
        <v>2662</v>
      </c>
      <c r="D41" s="35">
        <f>VLOOKUP($A41,'NG_Mar-Bill'!$A$15:$X$96,15)</f>
        <v>1804</v>
      </c>
      <c r="E41" s="35">
        <f>VLOOKUP($A41,'NG-Apr-Bill'!$A$15:$X$96,15)</f>
        <v>1274</v>
      </c>
      <c r="F41" s="35">
        <f>VLOOKUP($A41,'NG-May-Bill'!$A$15:$X$96,15)</f>
        <v>984</v>
      </c>
      <c r="G41" s="35">
        <f>VLOOKUP($A41,'NG-Jun-Bill'!$A$15:$X$96,15)</f>
        <v>882</v>
      </c>
      <c r="H41" s="35">
        <f>VLOOKUP($A41,'NG-Jul-Bill'!$A$15:$X$96,15)</f>
        <v>855</v>
      </c>
      <c r="I41" s="35">
        <f>VLOOKUP($A41,'NG-Aug-Bill'!$A$15:$X$96,15)</f>
        <v>917</v>
      </c>
      <c r="J41" s="35">
        <f>VLOOKUP($A41,'NG-Sept-Bill'!$A$15:$X$96,15)</f>
        <v>782</v>
      </c>
      <c r="K41" s="35">
        <f>VLOOKUP($A41,'NG-Oct-Bill'!$A$15:$X$96,15)</f>
        <v>814</v>
      </c>
      <c r="L41" s="35">
        <f>VLOOKUP($A41,'NG-Nov-Bill'!$A$15:$X$96,15)</f>
        <v>1340</v>
      </c>
      <c r="M41" s="35">
        <f>VLOOKUP($A41,'NG-Dec-Bill'!$A$15:$X$96,15)</f>
        <v>2033</v>
      </c>
      <c r="O41" s="35">
        <f t="shared" si="0"/>
        <v>16395</v>
      </c>
    </row>
    <row r="42" spans="1:15">
      <c r="A42" s="40">
        <v>2133821120</v>
      </c>
      <c r="B42" s="35">
        <f>VLOOKUP($A42,'NG-Jan-Bill'!$A$15:$X$96,15)</f>
        <v>2095</v>
      </c>
      <c r="C42" s="35">
        <f>VLOOKUP($A42,'NG-Feb-Bill'!$A$15:$X$96,15)</f>
        <v>1519</v>
      </c>
      <c r="D42" s="35">
        <f>VLOOKUP($A42,'NG_Mar-Bill'!$A$15:$X$96,15)</f>
        <v>1556</v>
      </c>
      <c r="E42" s="35">
        <f>VLOOKUP($A42,'NG-Apr-Bill'!$A$15:$X$96,15)</f>
        <v>1529</v>
      </c>
      <c r="F42" s="35">
        <f>VLOOKUP($A42,'NG-May-Bill'!$A$15:$X$96,15)</f>
        <v>506</v>
      </c>
      <c r="G42" s="35">
        <f>VLOOKUP($A42,'NG-Jun-Bill'!$A$15:$X$96,15)</f>
        <v>257</v>
      </c>
      <c r="H42" s="35">
        <f>VLOOKUP($A42,'NG-Jul-Bill'!$A$15:$X$96,15)</f>
        <v>232</v>
      </c>
      <c r="I42" s="35">
        <f>VLOOKUP($A42,'NG-Aug-Bill'!$A$15:$X$96,15)</f>
        <v>261</v>
      </c>
      <c r="J42" s="35">
        <f>VLOOKUP($A42,'NG-Sept-Bill'!$A$15:$X$96,15)</f>
        <v>236</v>
      </c>
      <c r="K42" s="35">
        <f>VLOOKUP($A42,'NG-Oct-Bill'!$A$15:$X$96,15)</f>
        <v>492</v>
      </c>
      <c r="L42" s="35">
        <f>VLOOKUP($A42,'NG-Nov-Bill'!$A$15:$X$96,15)</f>
        <v>250</v>
      </c>
      <c r="M42" s="35">
        <f>VLOOKUP($A42,'NG-Dec-Bill'!$A$15:$X$96,15)</f>
        <v>1196</v>
      </c>
      <c r="O42" s="35">
        <f t="shared" si="0"/>
        <v>10129</v>
      </c>
    </row>
    <row r="43" spans="1:15">
      <c r="A43" s="40">
        <v>2137454018</v>
      </c>
      <c r="B43" s="35">
        <f>VLOOKUP($A43,'NG-Jan-Bill'!$A$15:$X$96,15)</f>
        <v>5</v>
      </c>
      <c r="C43" s="35">
        <f>VLOOKUP($A43,'NG-Feb-Bill'!$A$15:$X$96,15)</f>
        <v>4</v>
      </c>
      <c r="D43" s="35">
        <f>VLOOKUP($A43,'NG_Mar-Bill'!$A$15:$X$96,15)</f>
        <v>5</v>
      </c>
      <c r="E43" s="35">
        <f>VLOOKUP($A43,'NG-Apr-Bill'!$A$15:$X$96,15)</f>
        <v>5</v>
      </c>
      <c r="F43" s="35">
        <f>VLOOKUP($A43,'NG-May-Bill'!$A$15:$X$96,15)</f>
        <v>5</v>
      </c>
      <c r="G43" s="35">
        <f>VLOOKUP($A43,'NG-Jun-Bill'!$A$15:$X$96,15)</f>
        <v>4</v>
      </c>
      <c r="H43" s="35">
        <f>VLOOKUP($A43,'NG-Jul-Bill'!$A$15:$X$96,15)</f>
        <v>4</v>
      </c>
      <c r="I43" s="35">
        <f>VLOOKUP($A43,'NG-Aug-Bill'!$A$15:$X$96,15)</f>
        <v>5</v>
      </c>
      <c r="J43" s="35">
        <f>VLOOKUP($A43,'NG-Sept-Bill'!$A$15:$X$96,15)</f>
        <v>4</v>
      </c>
      <c r="K43" s="35">
        <f>VLOOKUP($A43,'NG-Oct-Bill'!$A$15:$X$96,15)</f>
        <v>4</v>
      </c>
      <c r="L43" s="35">
        <f>VLOOKUP($A43,'NG-Nov-Bill'!$A$15:$X$96,15)</f>
        <v>5</v>
      </c>
      <c r="M43" s="35">
        <f>VLOOKUP($A43,'NG-Dec-Bill'!$A$15:$X$96,15)</f>
        <v>4</v>
      </c>
      <c r="O43" s="35">
        <f t="shared" si="0"/>
        <v>54</v>
      </c>
    </row>
    <row r="44" spans="1:15">
      <c r="A44" s="40">
        <v>2217686007</v>
      </c>
      <c r="B44" s="35">
        <f>VLOOKUP($A44,'NG-Jan-Bill'!$A$15:$X$96,15)</f>
        <v>249</v>
      </c>
      <c r="C44" s="35">
        <f>VLOOKUP($A44,'NG-Feb-Bill'!$A$15:$X$96,15)</f>
        <v>221</v>
      </c>
      <c r="D44" s="35">
        <f>VLOOKUP($A44,'NG_Mar-Bill'!$A$15:$X$96,15)</f>
        <v>285</v>
      </c>
      <c r="E44" s="35">
        <f>VLOOKUP($A44,'NG-Apr-Bill'!$A$15:$X$96,15)</f>
        <v>309</v>
      </c>
      <c r="F44" s="35">
        <f>VLOOKUP($A44,'NG-May-Bill'!$A$15:$X$96,15)</f>
        <v>290</v>
      </c>
      <c r="G44" s="35">
        <f>VLOOKUP($A44,'NG-Jun-Bill'!$A$15:$X$96,15)</f>
        <v>287</v>
      </c>
      <c r="H44" s="35">
        <f>VLOOKUP($A44,'NG-Jul-Bill'!$A$15:$X$96,15)</f>
        <v>263</v>
      </c>
      <c r="I44" s="35">
        <f>VLOOKUP($A44,'NG-Aug-Bill'!$A$15:$X$96,15)</f>
        <v>305</v>
      </c>
      <c r="J44" s="35">
        <f>VLOOKUP($A44,'NG-Sept-Bill'!$A$15:$X$96,15)</f>
        <v>249</v>
      </c>
      <c r="K44" s="35">
        <f>VLOOKUP($A44,'NG-Oct-Bill'!$A$15:$X$96,15)</f>
        <v>267</v>
      </c>
      <c r="L44" s="35">
        <f>VLOOKUP($A44,'NG-Nov-Bill'!$A$15:$X$96,15)</f>
        <v>257</v>
      </c>
      <c r="M44" s="35">
        <f>VLOOKUP($A44,'NG-Dec-Bill'!$A$15:$X$96,15)</f>
        <v>231</v>
      </c>
      <c r="O44" s="35">
        <f t="shared" si="0"/>
        <v>3213</v>
      </c>
    </row>
    <row r="45" spans="1:15">
      <c r="A45" s="40">
        <v>2480127108</v>
      </c>
      <c r="B45" s="35">
        <f>VLOOKUP($A45,'NG-Jan-Bill'!$A$15:$X$96,15)</f>
        <v>332</v>
      </c>
      <c r="C45" s="35">
        <f>VLOOKUP($A45,'NG-Feb-Bill'!$A$15:$X$96,15)</f>
        <v>332</v>
      </c>
      <c r="D45" s="35">
        <f>VLOOKUP($A45,'NG_Mar-Bill'!$A$15:$X$96,15)</f>
        <v>332</v>
      </c>
      <c r="E45" s="35">
        <f>VLOOKUP($A45,'NG-Apr-Bill'!$A$15:$X$96,15)</f>
        <v>332</v>
      </c>
      <c r="F45" s="35">
        <f>VLOOKUP($A45,'NG-May-Bill'!$A$15:$X$96,15)</f>
        <v>332</v>
      </c>
      <c r="G45" s="35">
        <f>VLOOKUP($A45,'NG-Jun-Bill'!$A$15:$X$96,15)</f>
        <v>332</v>
      </c>
      <c r="H45" s="35">
        <f>VLOOKUP($A45,'NG-Jul-Bill'!$A$15:$X$96,15)</f>
        <v>332</v>
      </c>
      <c r="I45" s="35">
        <f>VLOOKUP($A45,'NG-Aug-Bill'!$A$15:$X$96,15)</f>
        <v>332</v>
      </c>
      <c r="J45" s="35">
        <f>VLOOKUP($A45,'NG-Sept-Bill'!$A$15:$X$96,15)</f>
        <v>332</v>
      </c>
      <c r="K45" s="35">
        <f>VLOOKUP($A45,'NG-Oct-Bill'!$A$15:$X$96,15)</f>
        <v>332</v>
      </c>
      <c r="L45" s="35">
        <f>VLOOKUP($A45,'NG-Nov-Bill'!$A$15:$X$96,15)</f>
        <v>332</v>
      </c>
      <c r="M45" s="35">
        <f>VLOOKUP($A45,'NG-Dec-Bill'!$A$15:$X$96,15)</f>
        <v>332</v>
      </c>
      <c r="O45" s="35">
        <f t="shared" si="0"/>
        <v>3984</v>
      </c>
    </row>
    <row r="46" spans="1:15">
      <c r="A46" s="40">
        <v>2533809113</v>
      </c>
      <c r="B46" s="35">
        <f>VLOOKUP($A46,'NG-Jan-Bill'!$A$15:$X$96,15)</f>
        <v>1535</v>
      </c>
      <c r="C46" s="35">
        <f>VLOOKUP($A46,'NG-Feb-Bill'!$A$15:$X$96,15)</f>
        <v>1067</v>
      </c>
      <c r="D46" s="35">
        <f>VLOOKUP($A46,'NG_Mar-Bill'!$A$15:$X$96,15)</f>
        <v>1303</v>
      </c>
      <c r="E46" s="35">
        <f>VLOOKUP($A46,'NG-Apr-Bill'!$A$15:$X$96,15)</f>
        <v>784</v>
      </c>
      <c r="F46" s="35">
        <f>VLOOKUP($A46,'NG-May-Bill'!$A$15:$X$96,15)</f>
        <v>658</v>
      </c>
      <c r="G46" s="35">
        <f>VLOOKUP($A46,'NG-Jun-Bill'!$A$15:$X$96,15)</f>
        <v>751</v>
      </c>
      <c r="H46" s="35">
        <f>VLOOKUP($A46,'NG-Jul-Bill'!$A$15:$X$96,15)</f>
        <v>933</v>
      </c>
      <c r="I46" s="35">
        <f>VLOOKUP($A46,'NG-Aug-Bill'!$A$15:$X$96,15)</f>
        <v>929</v>
      </c>
      <c r="J46" s="35">
        <f>VLOOKUP($A46,'NG-Sept-Bill'!$A$15:$X$96,15)</f>
        <v>899</v>
      </c>
      <c r="K46" s="35">
        <f>VLOOKUP($A46,'NG-Oct-Bill'!$A$15:$X$96,15)</f>
        <v>899</v>
      </c>
      <c r="L46" s="35">
        <f>VLOOKUP($A46,'NG-Nov-Bill'!$A$15:$X$96,15)</f>
        <v>959</v>
      </c>
      <c r="M46" s="35">
        <f>VLOOKUP($A46,'NG-Dec-Bill'!$A$15:$X$96,15)</f>
        <v>1182</v>
      </c>
      <c r="O46" s="35">
        <f t="shared" si="0"/>
        <v>11899</v>
      </c>
    </row>
    <row r="47" spans="1:15">
      <c r="A47" s="40">
        <v>2693810107</v>
      </c>
      <c r="B47" s="35">
        <f>VLOOKUP($A47,'NG-Jan-Bill'!$A$15:$X$96,15)</f>
        <v>14480</v>
      </c>
      <c r="C47" s="35">
        <f>VLOOKUP($A47,'NG-Feb-Bill'!$A$15:$X$96,15)</f>
        <v>13560</v>
      </c>
      <c r="D47" s="35">
        <f>VLOOKUP($A47,'NG_Mar-Bill'!$A$15:$X$96,15)</f>
        <v>12080</v>
      </c>
      <c r="E47" s="35">
        <f>VLOOKUP($A47,'NG-Apr-Bill'!$A$15:$X$96,15)</f>
        <v>9440</v>
      </c>
      <c r="F47" s="35">
        <f>VLOOKUP($A47,'NG-May-Bill'!$A$15:$X$96,15)</f>
        <v>9440</v>
      </c>
      <c r="G47" s="35">
        <f>VLOOKUP($A47,'NG-Jun-Bill'!$A$15:$X$96,15)</f>
        <v>840</v>
      </c>
      <c r="H47" s="35">
        <f>VLOOKUP($A47,'NG-Jul-Bill'!$A$15:$X$96,15)</f>
        <v>1840</v>
      </c>
      <c r="I47" s="35">
        <f>VLOOKUP($A47,'NG-Aug-Bill'!$A$15:$X$96,15)</f>
        <v>1320</v>
      </c>
      <c r="J47" s="35">
        <f>VLOOKUP($A47,'NG-Sept-Bill'!$A$15:$X$96,15)</f>
        <v>1320</v>
      </c>
      <c r="K47" s="35">
        <f>VLOOKUP($A47,'NG-Oct-Bill'!$A$15:$X$96,15)</f>
        <v>2200</v>
      </c>
      <c r="L47" s="35">
        <f>VLOOKUP($A47,'NG-Nov-Bill'!$A$15:$X$96,15)</f>
        <v>2200</v>
      </c>
      <c r="M47" s="35">
        <f>VLOOKUP($A47,'NG-Dec-Bill'!$A$15:$X$96,15)</f>
        <v>10920</v>
      </c>
      <c r="O47" s="35">
        <f t="shared" si="0"/>
        <v>79640</v>
      </c>
    </row>
    <row r="48" spans="1:15">
      <c r="A48" s="40">
        <v>2703112003</v>
      </c>
      <c r="B48" s="35">
        <f>VLOOKUP($A48,'NG-Jan-Bill'!$A$15:$X$96,15)</f>
        <v>1016</v>
      </c>
      <c r="C48" s="35">
        <f>VLOOKUP($A48,'NG-Feb-Bill'!$A$15:$X$96,15)</f>
        <v>906</v>
      </c>
      <c r="D48" s="35">
        <f>VLOOKUP($A48,'NG_Mar-Bill'!$A$15:$X$96,15)</f>
        <v>971</v>
      </c>
      <c r="E48" s="35">
        <f>VLOOKUP($A48,'NG-Apr-Bill'!$A$15:$X$96,15)</f>
        <v>1077</v>
      </c>
      <c r="F48" s="35">
        <f>VLOOKUP($A48,'NG-May-Bill'!$A$15:$X$96,15)</f>
        <v>1774</v>
      </c>
      <c r="G48" s="35">
        <f>VLOOKUP($A48,'NG-Jun-Bill'!$A$15:$X$96,15)</f>
        <v>2771</v>
      </c>
      <c r="H48" s="35">
        <f>VLOOKUP($A48,'NG-Jul-Bill'!$A$15:$X$96,15)</f>
        <v>3307</v>
      </c>
      <c r="I48" s="35">
        <f>VLOOKUP($A48,'NG-Aug-Bill'!$A$15:$X$96,15)</f>
        <v>3815</v>
      </c>
      <c r="J48" s="35">
        <f>VLOOKUP($A48,'NG-Sept-Bill'!$A$15:$X$96,15)</f>
        <v>3037</v>
      </c>
      <c r="K48" s="35">
        <f>VLOOKUP($A48,'NG-Oct-Bill'!$A$15:$X$96,15)</f>
        <v>2477</v>
      </c>
      <c r="L48" s="35">
        <f>VLOOKUP($A48,'NG-Nov-Bill'!$A$15:$X$96,15)</f>
        <v>2548</v>
      </c>
      <c r="M48" s="35">
        <f>VLOOKUP($A48,'NG-Dec-Bill'!$A$15:$X$96,15)</f>
        <v>1236</v>
      </c>
      <c r="O48" s="35">
        <f t="shared" si="0"/>
        <v>24935</v>
      </c>
    </row>
    <row r="49" spans="1:15">
      <c r="A49" s="40">
        <v>2773821106</v>
      </c>
      <c r="B49" s="35">
        <f>VLOOKUP($A49,'NG-Jan-Bill'!$A$15:$X$96,15)</f>
        <v>0</v>
      </c>
      <c r="C49" s="35">
        <f>VLOOKUP($A49,'NG-Feb-Bill'!$A$15:$X$96,15)</f>
        <v>0</v>
      </c>
      <c r="D49" s="35">
        <f>VLOOKUP($A49,'NG_Mar-Bill'!$A$15:$X$96,15)</f>
        <v>0</v>
      </c>
      <c r="E49" s="35">
        <f>VLOOKUP($A49,'NG-Apr-Bill'!$A$15:$X$96,15)</f>
        <v>0</v>
      </c>
      <c r="F49" s="35">
        <f>VLOOKUP($A49,'NG-May-Bill'!$A$15:$X$96,15)</f>
        <v>0</v>
      </c>
      <c r="G49" s="35">
        <f>VLOOKUP($A49,'NG-Jun-Bill'!$A$15:$X$96,15)</f>
        <v>0</v>
      </c>
      <c r="H49" s="35">
        <f>VLOOKUP($A49,'NG-Jul-Bill'!$A$15:$X$96,15)</f>
        <v>0</v>
      </c>
      <c r="I49" s="35">
        <f>VLOOKUP($A49,'NG-Aug-Bill'!$A$15:$X$96,15)</f>
        <v>0</v>
      </c>
      <c r="J49" s="35">
        <f>VLOOKUP($A49,'NG-Sept-Bill'!$A$15:$X$96,15)</f>
        <v>0</v>
      </c>
      <c r="K49" s="35">
        <f>VLOOKUP($A49,'NG-Oct-Bill'!$A$15:$X$96,15)</f>
        <v>0</v>
      </c>
      <c r="L49" s="35">
        <f>VLOOKUP($A49,'NG-Nov-Bill'!$A$15:$X$96,15)</f>
        <v>0</v>
      </c>
      <c r="M49" s="35">
        <f>VLOOKUP($A49,'NG-Dec-Bill'!$A$15:$X$96,15)</f>
        <v>0</v>
      </c>
      <c r="O49" s="35">
        <f t="shared" si="0"/>
        <v>0</v>
      </c>
    </row>
    <row r="50" spans="1:15">
      <c r="A50" s="40">
        <v>2856106004</v>
      </c>
      <c r="B50" s="35">
        <f>VLOOKUP($A50,'NG-Jan-Bill'!$A$15:$X$96,15)</f>
        <v>0</v>
      </c>
      <c r="C50" s="35">
        <f>VLOOKUP($A50,'NG-Feb-Bill'!$A$15:$X$96,15)</f>
        <v>0</v>
      </c>
      <c r="D50" s="35">
        <f>VLOOKUP($A50,'NG_Mar-Bill'!$A$15:$X$96,15)</f>
        <v>0</v>
      </c>
      <c r="E50" s="35">
        <f>VLOOKUP($A50,'NG-Apr-Bill'!$A$15:$X$96,15)</f>
        <v>0</v>
      </c>
      <c r="F50" s="35">
        <f>VLOOKUP($A50,'NG-May-Bill'!$A$15:$X$96,15)</f>
        <v>0</v>
      </c>
      <c r="G50" s="35">
        <f>VLOOKUP($A50,'NG-Jun-Bill'!$A$15:$X$96,15)</f>
        <v>0</v>
      </c>
      <c r="H50" s="35">
        <f>VLOOKUP($A50,'NG-Jul-Bill'!$A$15:$X$96,15)</f>
        <v>0</v>
      </c>
      <c r="I50" s="35">
        <f>VLOOKUP($A50,'NG-Aug-Bill'!$A$15:$X$96,15)</f>
        <v>0</v>
      </c>
      <c r="J50" s="35">
        <f>VLOOKUP($A50,'NG-Sept-Bill'!$A$15:$X$96,15)</f>
        <v>0</v>
      </c>
      <c r="K50" s="35">
        <f>VLOOKUP($A50,'NG-Oct-Bill'!$A$15:$X$96,15)</f>
        <v>0</v>
      </c>
      <c r="L50" s="35">
        <f>VLOOKUP($A50,'NG-Nov-Bill'!$A$15:$X$96,15)</f>
        <v>0</v>
      </c>
      <c r="M50" s="35">
        <f>VLOOKUP($A50,'NG-Dec-Bill'!$A$15:$X$96,15)</f>
        <v>0</v>
      </c>
      <c r="O50" s="35">
        <f t="shared" si="0"/>
        <v>0</v>
      </c>
    </row>
    <row r="51" spans="1:15">
      <c r="A51" s="40">
        <v>2860127100</v>
      </c>
      <c r="B51" s="35">
        <f>VLOOKUP($A51,'NG-Jan-Bill'!$A$15:$X$96,15)</f>
        <v>312</v>
      </c>
      <c r="C51" s="35">
        <f>VLOOKUP($A51,'NG-Feb-Bill'!$A$15:$X$96,15)</f>
        <v>312</v>
      </c>
      <c r="D51" s="35">
        <f>VLOOKUP($A51,'NG_Mar-Bill'!$A$15:$X$96,15)</f>
        <v>312</v>
      </c>
      <c r="E51" s="35">
        <f>VLOOKUP($A51,'NG-Apr-Bill'!$A$15:$X$96,15)</f>
        <v>312</v>
      </c>
      <c r="F51" s="35">
        <f>VLOOKUP($A51,'NG-May-Bill'!$A$15:$X$96,15)</f>
        <v>312</v>
      </c>
      <c r="G51" s="35">
        <f>VLOOKUP($A51,'NG-Jun-Bill'!$A$15:$X$96,15)</f>
        <v>312</v>
      </c>
      <c r="H51" s="35">
        <f>VLOOKUP($A51,'NG-Jul-Bill'!$A$15:$X$96,15)</f>
        <v>312</v>
      </c>
      <c r="I51" s="35">
        <f>VLOOKUP($A51,'NG-Aug-Bill'!$A$15:$X$96,15)</f>
        <v>312</v>
      </c>
      <c r="J51" s="35">
        <f>VLOOKUP($A51,'NG-Sept-Bill'!$A$15:$X$96,15)</f>
        <v>312</v>
      </c>
      <c r="K51" s="35">
        <f>VLOOKUP($A51,'NG-Oct-Bill'!$A$15:$X$96,15)</f>
        <v>312</v>
      </c>
      <c r="L51" s="35">
        <f>VLOOKUP($A51,'NG-Nov-Bill'!$A$15:$X$96,15)</f>
        <v>312</v>
      </c>
      <c r="M51" s="35">
        <f>VLOOKUP($A51,'NG-Dec-Bill'!$A$15:$X$96,15)</f>
        <v>312</v>
      </c>
      <c r="O51" s="35">
        <f t="shared" si="0"/>
        <v>3744</v>
      </c>
    </row>
    <row r="52" spans="1:15">
      <c r="A52" s="40">
        <v>3040127109</v>
      </c>
      <c r="B52" s="35">
        <f>VLOOKUP($A52,'NG-Jan-Bill'!$A$15:$X$96,15)</f>
        <v>326</v>
      </c>
      <c r="C52" s="35">
        <f>VLOOKUP($A52,'NG-Feb-Bill'!$A$15:$X$96,15)</f>
        <v>326</v>
      </c>
      <c r="D52" s="35">
        <f>VLOOKUP($A52,'NG_Mar-Bill'!$A$15:$X$96,15)</f>
        <v>326</v>
      </c>
      <c r="E52" s="35">
        <f>VLOOKUP($A52,'NG-Apr-Bill'!$A$15:$X$96,15)</f>
        <v>326</v>
      </c>
      <c r="F52" s="35">
        <f>VLOOKUP($A52,'NG-May-Bill'!$A$15:$X$96,15)</f>
        <v>326</v>
      </c>
      <c r="G52" s="35">
        <f>VLOOKUP($A52,'NG-Jun-Bill'!$A$15:$X$96,15)</f>
        <v>326</v>
      </c>
      <c r="H52" s="35">
        <f>VLOOKUP($A52,'NG-Jul-Bill'!$A$15:$X$96,15)</f>
        <v>326</v>
      </c>
      <c r="I52" s="35">
        <f>VLOOKUP($A52,'NG-Aug-Bill'!$A$15:$X$96,15)</f>
        <v>326</v>
      </c>
      <c r="J52" s="35">
        <f>VLOOKUP($A52,'NG-Sept-Bill'!$A$15:$X$96,15)</f>
        <v>326</v>
      </c>
      <c r="K52" s="35">
        <f>VLOOKUP($A52,'NG-Oct-Bill'!$A$15:$X$96,15)</f>
        <v>326</v>
      </c>
      <c r="L52" s="35">
        <f>VLOOKUP($A52,'NG-Nov-Bill'!$A$15:$X$96,15)</f>
        <v>326</v>
      </c>
      <c r="M52" s="35">
        <f>VLOOKUP($A52,'NG-Dec-Bill'!$A$15:$X$96,15)</f>
        <v>326</v>
      </c>
      <c r="O52" s="35">
        <f t="shared" si="0"/>
        <v>3912</v>
      </c>
    </row>
    <row r="53" spans="1:15">
      <c r="A53" s="40">
        <v>3128810107</v>
      </c>
      <c r="B53" s="35">
        <f>VLOOKUP($A53,'NG-Jan-Bill'!$A$15:$X$96,15)</f>
        <v>6</v>
      </c>
      <c r="C53" s="35">
        <f>VLOOKUP($A53,'NG-Feb-Bill'!$A$15:$X$96,15)</f>
        <v>4</v>
      </c>
      <c r="D53" s="35">
        <f>VLOOKUP($A53,'NG_Mar-Bill'!$A$15:$X$96,15)</f>
        <v>5</v>
      </c>
      <c r="E53" s="35">
        <f>VLOOKUP($A53,'NG-Apr-Bill'!$A$15:$X$96,15)</f>
        <v>6</v>
      </c>
      <c r="F53" s="35">
        <f>VLOOKUP($A53,'NG-May-Bill'!$A$15:$X$96,15)</f>
        <v>5</v>
      </c>
      <c r="G53" s="35">
        <f>VLOOKUP($A53,'NG-Jun-Bill'!$A$15:$X$96,15)</f>
        <v>5</v>
      </c>
      <c r="H53" s="35">
        <f>VLOOKUP($A53,'NG-Jul-Bill'!$A$15:$X$96,15)</f>
        <v>5</v>
      </c>
      <c r="I53" s="35">
        <f>VLOOKUP($A53,'NG-Aug-Bill'!$A$15:$X$96,15)</f>
        <v>5</v>
      </c>
      <c r="J53" s="35">
        <f>VLOOKUP($A53,'NG-Sept-Bill'!$A$15:$X$96,15)</f>
        <v>5</v>
      </c>
      <c r="K53" s="35">
        <f>VLOOKUP($A53,'NG-Oct-Bill'!$A$15:$X$96,15)</f>
        <v>5</v>
      </c>
      <c r="L53" s="35">
        <f>VLOOKUP($A53,'NG-Nov-Bill'!$A$15:$X$96,15)</f>
        <v>5</v>
      </c>
      <c r="M53" s="35">
        <f>VLOOKUP($A53,'NG-Dec-Bill'!$A$15:$X$96,15)</f>
        <v>7</v>
      </c>
      <c r="O53" s="35">
        <f t="shared" si="0"/>
        <v>63</v>
      </c>
    </row>
    <row r="54" spans="1:15">
      <c r="A54" s="40">
        <v>3195056004</v>
      </c>
      <c r="B54" s="35">
        <f>VLOOKUP($A54,'NG-Jan-Bill'!$A$15:$X$96,15)</f>
        <v>16</v>
      </c>
      <c r="C54" s="35">
        <f>VLOOKUP($A54,'NG-Feb-Bill'!$A$15:$X$96,15)</f>
        <v>14</v>
      </c>
      <c r="D54" s="35">
        <f>VLOOKUP($A54,'NG_Mar-Bill'!$A$15:$X$96,15)</f>
        <v>13</v>
      </c>
      <c r="E54" s="35">
        <f>VLOOKUP($A54,'NG-Apr-Bill'!$A$15:$X$96,15)</f>
        <v>12</v>
      </c>
      <c r="F54" s="35">
        <f>VLOOKUP($A54,'NG-May-Bill'!$A$15:$X$96,15)</f>
        <v>10</v>
      </c>
      <c r="G54" s="35">
        <f>VLOOKUP($A54,'NG-Jun-Bill'!$A$15:$X$96,15)</f>
        <v>11</v>
      </c>
      <c r="H54" s="35">
        <f>VLOOKUP($A54,'NG-Jul-Bill'!$A$15:$X$96,15)</f>
        <v>10</v>
      </c>
      <c r="I54" s="35">
        <f>VLOOKUP($A54,'NG-Aug-Bill'!$A$15:$X$96,15)</f>
        <v>14</v>
      </c>
      <c r="J54" s="35">
        <f>VLOOKUP($A54,'NG-Sept-Bill'!$A$15:$X$96,15)</f>
        <v>11</v>
      </c>
      <c r="K54" s="35">
        <f>VLOOKUP($A54,'NG-Oct-Bill'!$A$15:$X$96,15)</f>
        <v>12</v>
      </c>
      <c r="L54" s="35">
        <f>VLOOKUP($A54,'NG-Nov-Bill'!$A$15:$X$96,15)</f>
        <v>13</v>
      </c>
      <c r="M54" s="35">
        <f>VLOOKUP($A54,'NG-Dec-Bill'!$A$15:$X$96,15)</f>
        <v>16</v>
      </c>
      <c r="O54" s="35">
        <f t="shared" si="0"/>
        <v>152</v>
      </c>
    </row>
    <row r="55" spans="1:15">
      <c r="A55" s="40">
        <v>3273812135</v>
      </c>
      <c r="B55" s="35">
        <f>VLOOKUP($A55,'NG-Jan-Bill'!$A$15:$X$96,15)</f>
        <v>2194</v>
      </c>
      <c r="C55" s="35">
        <f>VLOOKUP($A55,'NG-Feb-Bill'!$A$15:$X$96,15)</f>
        <v>1520</v>
      </c>
      <c r="D55" s="35">
        <f>VLOOKUP($A55,'NG_Mar-Bill'!$A$15:$X$96,15)</f>
        <v>2053</v>
      </c>
      <c r="E55" s="35">
        <f>VLOOKUP($A55,'NG-Apr-Bill'!$A$15:$X$96,15)</f>
        <v>1249</v>
      </c>
      <c r="F55" s="35">
        <f>VLOOKUP($A55,'NG-May-Bill'!$A$15:$X$96,15)</f>
        <v>817</v>
      </c>
      <c r="G55" s="35">
        <f>VLOOKUP($A55,'NG-Jun-Bill'!$A$15:$X$96,15)</f>
        <v>718</v>
      </c>
      <c r="H55" s="35">
        <f>VLOOKUP($A55,'NG-Jul-Bill'!$A$15:$X$96,15)</f>
        <v>640</v>
      </c>
      <c r="I55" s="35">
        <f>VLOOKUP($A55,'NG-Aug-Bill'!$A$15:$X$96,15)</f>
        <v>784</v>
      </c>
      <c r="J55" s="35">
        <f>VLOOKUP($A55,'NG-Sept-Bill'!$A$15:$X$96,15)</f>
        <v>682</v>
      </c>
      <c r="K55" s="35">
        <f>VLOOKUP($A55,'NG-Oct-Bill'!$A$15:$X$96,15)</f>
        <v>828</v>
      </c>
      <c r="L55" s="35">
        <f>VLOOKUP($A55,'NG-Nov-Bill'!$A$15:$X$96,15)</f>
        <v>978</v>
      </c>
      <c r="M55" s="35">
        <f>VLOOKUP($A55,'NG-Dec-Bill'!$A$15:$X$96,15)</f>
        <v>1824</v>
      </c>
      <c r="O55" s="35">
        <f t="shared" si="0"/>
        <v>14287</v>
      </c>
    </row>
    <row r="56" spans="1:15">
      <c r="A56" s="40">
        <v>3293820115</v>
      </c>
      <c r="B56" s="35">
        <f>VLOOKUP($A56,'NG-Jan-Bill'!$A$15:$X$96,15)</f>
        <v>0</v>
      </c>
      <c r="C56" s="35">
        <f>VLOOKUP($A56,'NG-Feb-Bill'!$A$15:$X$96,15)</f>
        <v>0</v>
      </c>
      <c r="D56" s="35">
        <f>VLOOKUP($A56,'NG_Mar-Bill'!$A$15:$X$96,15)</f>
        <v>0</v>
      </c>
      <c r="E56" s="35">
        <f>VLOOKUP($A56,'NG-Apr-Bill'!$A$15:$X$96,15)</f>
        <v>0</v>
      </c>
      <c r="F56" s="35">
        <f>VLOOKUP($A56,'NG-May-Bill'!$A$15:$X$96,15)</f>
        <v>0</v>
      </c>
      <c r="G56" s="35">
        <f>VLOOKUP($A56,'NG-Jun-Bill'!$A$15:$X$96,15)</f>
        <v>0</v>
      </c>
      <c r="H56" s="35">
        <f>VLOOKUP($A56,'NG-Jul-Bill'!$A$15:$X$96,15)</f>
        <v>0</v>
      </c>
      <c r="I56" s="35">
        <f>VLOOKUP($A56,'NG-Aug-Bill'!$A$15:$X$96,15)</f>
        <v>0</v>
      </c>
      <c r="J56" s="35">
        <f>VLOOKUP($A56,'NG-Sept-Bill'!$A$15:$X$96,15)</f>
        <v>0</v>
      </c>
      <c r="K56" s="35">
        <f>VLOOKUP($A56,'NG-Oct-Bill'!$A$15:$X$96,15)</f>
        <v>0</v>
      </c>
      <c r="L56" s="35">
        <f>VLOOKUP($A56,'NG-Nov-Bill'!$A$15:$X$96,15)</f>
        <v>0</v>
      </c>
      <c r="M56" s="35">
        <f>VLOOKUP($A56,'NG-Dec-Bill'!$A$15:$X$96,15)</f>
        <v>0</v>
      </c>
      <c r="O56" s="35">
        <f t="shared" si="0"/>
        <v>0</v>
      </c>
    </row>
    <row r="57" spans="1:15">
      <c r="A57" s="40">
        <v>3448808118</v>
      </c>
      <c r="B57" s="35">
        <f>VLOOKUP($A57,'NG-Jan-Bill'!$A$15:$X$96,15)</f>
        <v>986</v>
      </c>
      <c r="C57" s="35">
        <f>VLOOKUP($A57,'NG-Feb-Bill'!$A$15:$X$96,15)</f>
        <v>830</v>
      </c>
      <c r="D57" s="35">
        <f>VLOOKUP($A57,'NG_Mar-Bill'!$A$15:$X$96,15)</f>
        <v>813</v>
      </c>
      <c r="E57" s="35">
        <f>VLOOKUP($A57,'NG-Apr-Bill'!$A$15:$X$96,15)</f>
        <v>760</v>
      </c>
      <c r="F57" s="35">
        <f>VLOOKUP($A57,'NG-May-Bill'!$A$15:$X$96,15)</f>
        <v>579</v>
      </c>
      <c r="G57" s="35">
        <f>VLOOKUP($A57,'NG-Jun-Bill'!$A$15:$X$96,15)</f>
        <v>0</v>
      </c>
      <c r="H57" s="35">
        <f>VLOOKUP($A57,'NG-Jul-Bill'!$A$15:$X$96,15)</f>
        <v>859</v>
      </c>
      <c r="I57" s="35">
        <f>VLOOKUP($A57,'NG-Aug-Bill'!$A$15:$X$96,15)</f>
        <v>550</v>
      </c>
      <c r="J57" s="35">
        <f>VLOOKUP($A57,'NG-Sept-Bill'!$A$15:$X$96,15)</f>
        <v>552</v>
      </c>
      <c r="K57" s="35">
        <f>VLOOKUP($A57,'NG-Oct-Bill'!$A$15:$X$96,15)</f>
        <v>594</v>
      </c>
      <c r="L57" s="35">
        <f>VLOOKUP($A57,'NG-Nov-Bill'!$A$15:$X$96,15)</f>
        <v>683</v>
      </c>
      <c r="M57" s="35">
        <f>VLOOKUP($A57,'NG-Dec-Bill'!$A$15:$X$96,15)</f>
        <v>866</v>
      </c>
      <c r="O57" s="35">
        <f t="shared" si="0"/>
        <v>8072</v>
      </c>
    </row>
    <row r="58" spans="1:15">
      <c r="A58" s="40">
        <v>3632395006</v>
      </c>
      <c r="B58" s="35">
        <f>VLOOKUP($A58,'NG-Jan-Bill'!$A$15:$X$96,15)</f>
        <v>9</v>
      </c>
      <c r="C58" s="35">
        <f>VLOOKUP($A58,'NG-Feb-Bill'!$A$15:$X$96,15)</f>
        <v>8</v>
      </c>
      <c r="D58" s="35">
        <f>VLOOKUP($A58,'NG_Mar-Bill'!$A$15:$X$96,15)</f>
        <v>9</v>
      </c>
      <c r="E58" s="35">
        <f>VLOOKUP($A58,'NG-Apr-Bill'!$A$15:$X$96,15)</f>
        <v>10</v>
      </c>
      <c r="F58" s="35">
        <f>VLOOKUP($A58,'NG-May-Bill'!$A$15:$X$96,15)</f>
        <v>9</v>
      </c>
      <c r="G58" s="35">
        <f>VLOOKUP($A58,'NG-Jun-Bill'!$A$15:$X$96,15)</f>
        <v>10</v>
      </c>
      <c r="H58" s="35">
        <f>VLOOKUP($A58,'NG-Jul-Bill'!$A$15:$X$96,15)</f>
        <v>8</v>
      </c>
      <c r="I58" s="35">
        <f>VLOOKUP($A58,'NG-Aug-Bill'!$A$15:$X$96,15)</f>
        <v>9</v>
      </c>
      <c r="J58" s="35">
        <f>VLOOKUP($A58,'NG-Sept-Bill'!$A$15:$X$96,15)</f>
        <v>9</v>
      </c>
      <c r="K58" s="35">
        <f>VLOOKUP($A58,'NG-Oct-Bill'!$A$15:$X$96,15)</f>
        <v>8</v>
      </c>
      <c r="L58" s="35">
        <f>VLOOKUP($A58,'NG-Nov-Bill'!$A$15:$X$96,15)</f>
        <v>9</v>
      </c>
      <c r="M58" s="35">
        <f>VLOOKUP($A58,'NG-Dec-Bill'!$A$15:$X$96,15)</f>
        <v>10</v>
      </c>
      <c r="O58" s="35">
        <f t="shared" si="0"/>
        <v>108</v>
      </c>
    </row>
    <row r="59" spans="1:15">
      <c r="A59" s="40">
        <v>3753663109</v>
      </c>
      <c r="B59" s="35">
        <f>VLOOKUP($A59,'NG-Jan-Bill'!$A$15:$X$96,15)</f>
        <v>254</v>
      </c>
      <c r="C59" s="35">
        <f>VLOOKUP($A59,'NG-Feb-Bill'!$A$15:$X$96,15)</f>
        <v>202</v>
      </c>
      <c r="D59" s="35">
        <f>VLOOKUP($A59,'NG_Mar-Bill'!$A$15:$X$96,15)</f>
        <v>175</v>
      </c>
      <c r="E59" s="35">
        <f>VLOOKUP($A59,'NG-Apr-Bill'!$A$15:$X$96,15)</f>
        <v>166</v>
      </c>
      <c r="F59" s="35">
        <f>VLOOKUP($A59,'NG-May-Bill'!$A$15:$X$96,15)</f>
        <v>158</v>
      </c>
      <c r="G59" s="35">
        <f>VLOOKUP($A59,'NG-Jun-Bill'!$A$15:$X$96,15)</f>
        <v>126</v>
      </c>
      <c r="H59" s="35">
        <f>VLOOKUP($A59,'NG-Jul-Bill'!$A$15:$X$96,15)</f>
        <v>139</v>
      </c>
      <c r="I59" s="35">
        <f>VLOOKUP($A59,'NG-Aug-Bill'!$A$15:$X$96,15)</f>
        <v>150</v>
      </c>
      <c r="J59" s="35">
        <f>VLOOKUP($A59,'NG-Sept-Bill'!$A$15:$X$96,15)</f>
        <v>160</v>
      </c>
      <c r="K59" s="35">
        <f>VLOOKUP($A59,'NG-Oct-Bill'!$A$15:$X$96,15)</f>
        <v>195</v>
      </c>
      <c r="L59" s="35">
        <f>VLOOKUP($A59,'NG-Nov-Bill'!$A$15:$X$96,15)</f>
        <v>203</v>
      </c>
      <c r="M59" s="35">
        <f>VLOOKUP($A59,'NG-Dec-Bill'!$A$15:$X$96,15)</f>
        <v>224</v>
      </c>
      <c r="O59" s="35">
        <f t="shared" si="0"/>
        <v>2152</v>
      </c>
    </row>
    <row r="60" spans="1:15">
      <c r="A60" s="40">
        <v>3798043001</v>
      </c>
      <c r="B60" s="35">
        <f>VLOOKUP($A60,'NG-Jan-Bill'!$A$15:$X$96,15)</f>
        <v>9</v>
      </c>
      <c r="C60" s="35">
        <f>VLOOKUP($A60,'NG-Feb-Bill'!$A$15:$X$96,15)</f>
        <v>9</v>
      </c>
      <c r="D60" s="35">
        <f>VLOOKUP($A60,'NG_Mar-Bill'!$A$15:$X$96,15)</f>
        <v>9</v>
      </c>
      <c r="E60" s="35">
        <f>VLOOKUP($A60,'NG-Apr-Bill'!$A$15:$X$96,15)</f>
        <v>8</v>
      </c>
      <c r="F60" s="35">
        <f>VLOOKUP($A60,'NG-May-Bill'!$A$15:$X$96,15)</f>
        <v>9</v>
      </c>
      <c r="G60" s="35">
        <f>VLOOKUP($A60,'NG-Jun-Bill'!$A$15:$X$96,15)</f>
        <v>8</v>
      </c>
      <c r="H60" s="35">
        <f>VLOOKUP($A60,'NG-Jul-Bill'!$A$15:$X$96,15)</f>
        <v>8</v>
      </c>
      <c r="I60" s="35">
        <f>VLOOKUP($A60,'NG-Aug-Bill'!$A$15:$X$96,15)</f>
        <v>9</v>
      </c>
      <c r="J60" s="35">
        <f>VLOOKUP($A60,'NG-Sept-Bill'!$A$15:$X$96,15)</f>
        <v>8</v>
      </c>
      <c r="K60" s="35">
        <f>VLOOKUP($A60,'NG-Oct-Bill'!$A$15:$X$96,15)</f>
        <v>8</v>
      </c>
      <c r="L60" s="35">
        <f>VLOOKUP($A60,'NG-Nov-Bill'!$A$15:$X$96,15)</f>
        <v>8</v>
      </c>
      <c r="M60" s="35">
        <f>VLOOKUP($A60,'NG-Dec-Bill'!$A$15:$X$96,15)</f>
        <v>8</v>
      </c>
      <c r="O60" s="35">
        <f t="shared" si="0"/>
        <v>101</v>
      </c>
    </row>
    <row r="61" spans="1:15">
      <c r="A61" s="40">
        <v>3908811104</v>
      </c>
      <c r="B61" s="35">
        <f>VLOOKUP($A61,'NG-Jan-Bill'!$A$15:$X$96,15)</f>
        <v>415</v>
      </c>
      <c r="C61" s="35">
        <f>VLOOKUP($A61,'NG-Feb-Bill'!$A$15:$X$96,15)</f>
        <v>315</v>
      </c>
      <c r="D61" s="35">
        <f>VLOOKUP($A61,'NG_Mar-Bill'!$A$15:$X$96,15)</f>
        <v>322</v>
      </c>
      <c r="E61" s="35">
        <f>VLOOKUP($A61,'NG-Apr-Bill'!$A$15:$X$96,15)</f>
        <v>378</v>
      </c>
      <c r="F61" s="35">
        <f>VLOOKUP($A61,'NG-May-Bill'!$A$15:$X$96,15)</f>
        <v>1701</v>
      </c>
      <c r="G61" s="35">
        <f>VLOOKUP($A61,'NG-Jun-Bill'!$A$15:$X$96,15)</f>
        <v>1551</v>
      </c>
      <c r="H61" s="35">
        <f>VLOOKUP($A61,'NG-Jul-Bill'!$A$15:$X$96,15)</f>
        <v>1990</v>
      </c>
      <c r="I61" s="35">
        <f>VLOOKUP($A61,'NG-Aug-Bill'!$A$15:$X$96,15)</f>
        <v>1504</v>
      </c>
      <c r="J61" s="35">
        <f>VLOOKUP($A61,'NG-Sept-Bill'!$A$15:$X$96,15)</f>
        <v>884</v>
      </c>
      <c r="K61" s="35">
        <f>VLOOKUP($A61,'NG-Oct-Bill'!$A$15:$X$96,15)</f>
        <v>819</v>
      </c>
      <c r="L61" s="35">
        <f>VLOOKUP($A61,'NG-Nov-Bill'!$A$15:$X$96,15)</f>
        <v>618</v>
      </c>
      <c r="M61" s="35">
        <f>VLOOKUP($A61,'NG-Dec-Bill'!$A$15:$X$96,15)</f>
        <v>115</v>
      </c>
      <c r="O61" s="35">
        <f t="shared" si="0"/>
        <v>10612</v>
      </c>
    </row>
    <row r="62" spans="1:15">
      <c r="A62" s="40">
        <v>4153807100</v>
      </c>
      <c r="B62" s="35">
        <f>VLOOKUP($A62,'NG-Jan-Bill'!$A$15:$X$96,15)</f>
        <v>607</v>
      </c>
      <c r="C62" s="35">
        <f>VLOOKUP($A62,'NG-Feb-Bill'!$A$15:$X$96,15)</f>
        <v>676</v>
      </c>
      <c r="D62" s="35">
        <f>VLOOKUP($A62,'NG_Mar-Bill'!$A$15:$X$96,15)</f>
        <v>460</v>
      </c>
      <c r="E62" s="35">
        <f>VLOOKUP($A62,'NG-Apr-Bill'!$A$15:$X$96,15)</f>
        <v>358</v>
      </c>
      <c r="F62" s="35">
        <f>VLOOKUP($A62,'NG-May-Bill'!$A$15:$X$96,15)</f>
        <v>176</v>
      </c>
      <c r="G62" s="35">
        <f>VLOOKUP($A62,'NG-Jun-Bill'!$A$15:$X$96,15)</f>
        <v>141</v>
      </c>
      <c r="H62" s="35">
        <f>VLOOKUP($A62,'NG-Jul-Bill'!$A$15:$X$96,15)</f>
        <v>209</v>
      </c>
      <c r="I62" s="35">
        <f>VLOOKUP($A62,'NG-Aug-Bill'!$A$15:$X$96,15)</f>
        <v>155</v>
      </c>
      <c r="J62" s="35">
        <f>VLOOKUP($A62,'NG-Sept-Bill'!$A$15:$X$96,15)</f>
        <v>157</v>
      </c>
      <c r="K62" s="35">
        <f>VLOOKUP($A62,'NG-Oct-Bill'!$A$15:$X$96,15)</f>
        <v>127</v>
      </c>
      <c r="L62" s="35">
        <f>VLOOKUP($A62,'NG-Nov-Bill'!$A$15:$X$96,15)</f>
        <v>259</v>
      </c>
      <c r="M62" s="35">
        <f>VLOOKUP($A62,'NG-Dec-Bill'!$A$15:$X$96,15)</f>
        <v>583</v>
      </c>
      <c r="O62" s="35">
        <f t="shared" si="0"/>
        <v>3908</v>
      </c>
    </row>
    <row r="63" spans="1:15">
      <c r="A63" s="40">
        <v>4153820112</v>
      </c>
      <c r="B63" s="35">
        <f>VLOOKUP($A63,'NG-Jan-Bill'!$A$15:$X$96,15)</f>
        <v>417</v>
      </c>
      <c r="C63" s="35">
        <f>VLOOKUP($A63,'NG-Feb-Bill'!$A$15:$X$96,15)</f>
        <v>317</v>
      </c>
      <c r="D63" s="35">
        <f>VLOOKUP($A63,'NG_Mar-Bill'!$A$15:$X$96,15)</f>
        <v>526</v>
      </c>
      <c r="E63" s="35">
        <f>VLOOKUP($A63,'NG-Apr-Bill'!$A$15:$X$96,15)</f>
        <v>547</v>
      </c>
      <c r="F63" s="35">
        <f>VLOOKUP($A63,'NG-May-Bill'!$A$15:$X$96,15)</f>
        <v>4707</v>
      </c>
      <c r="G63" s="35">
        <f>VLOOKUP($A63,'NG-Jun-Bill'!$A$15:$X$96,15)</f>
        <v>14233</v>
      </c>
      <c r="H63" s="35">
        <f>VLOOKUP($A63,'NG-Jul-Bill'!$A$15:$X$96,15)</f>
        <v>14233</v>
      </c>
      <c r="I63" s="35">
        <f>VLOOKUP($A63,'NG-Aug-Bill'!$A$15:$X$96,15)</f>
        <v>12887</v>
      </c>
      <c r="J63" s="35">
        <f>VLOOKUP($A63,'NG-Sept-Bill'!$A$15:$X$96,15)</f>
        <v>14913</v>
      </c>
      <c r="K63" s="35">
        <f>VLOOKUP($A63,'NG-Oct-Bill'!$A$15:$X$96,15)</f>
        <v>9463</v>
      </c>
      <c r="L63" s="35">
        <f>VLOOKUP($A63,'NG-Nov-Bill'!$A$15:$X$96,15)</f>
        <v>941</v>
      </c>
      <c r="M63" s="35">
        <f>VLOOKUP($A63,'NG-Dec-Bill'!$A$15:$X$96,15)</f>
        <v>389</v>
      </c>
      <c r="O63" s="35">
        <f t="shared" si="0"/>
        <v>73573</v>
      </c>
    </row>
    <row r="64" spans="1:15">
      <c r="A64" s="40">
        <v>4308810115</v>
      </c>
      <c r="B64" s="35">
        <f>VLOOKUP($A64,'NG-Jan-Bill'!$A$15:$X$96,15)</f>
        <v>1288</v>
      </c>
      <c r="C64" s="35">
        <f>VLOOKUP($A64,'NG-Feb-Bill'!$A$15:$X$96,15)</f>
        <v>1151</v>
      </c>
      <c r="D64" s="35">
        <f>VLOOKUP($A64,'NG_Mar-Bill'!$A$15:$X$96,15)</f>
        <v>1149</v>
      </c>
      <c r="E64" s="35">
        <f>VLOOKUP($A64,'NG-Apr-Bill'!$A$15:$X$96,15)</f>
        <v>1247</v>
      </c>
      <c r="F64" s="35">
        <f>VLOOKUP($A64,'NG-May-Bill'!$A$15:$X$96,15)</f>
        <v>928</v>
      </c>
      <c r="G64" s="35">
        <f>VLOOKUP($A64,'NG-Jun-Bill'!$A$15:$X$96,15)</f>
        <v>1287</v>
      </c>
      <c r="H64" s="35">
        <f>VLOOKUP($A64,'NG-Jul-Bill'!$A$15:$X$96,15)</f>
        <v>1298</v>
      </c>
      <c r="I64" s="35">
        <f>VLOOKUP($A64,'NG-Aug-Bill'!$A$15:$X$96,15)</f>
        <v>793</v>
      </c>
      <c r="J64" s="35">
        <f>VLOOKUP($A64,'NG-Sept-Bill'!$A$15:$X$96,15)</f>
        <v>815</v>
      </c>
      <c r="K64" s="35">
        <f>VLOOKUP($A64,'NG-Oct-Bill'!$A$15:$X$96,15)</f>
        <v>831</v>
      </c>
      <c r="L64" s="35">
        <f>VLOOKUP($A64,'NG-Nov-Bill'!$A$15:$X$96,15)</f>
        <v>927</v>
      </c>
      <c r="M64" s="35">
        <f>VLOOKUP($A64,'NG-Dec-Bill'!$A$15:$X$96,15)</f>
        <v>1122</v>
      </c>
      <c r="O64" s="35">
        <f t="shared" si="0"/>
        <v>12836</v>
      </c>
    </row>
    <row r="65" spans="1:15">
      <c r="A65" s="40">
        <v>4399122004</v>
      </c>
      <c r="B65" s="35">
        <f>VLOOKUP($A65,'NG-Jan-Bill'!$A$15:$X$96,15)</f>
        <v>0</v>
      </c>
      <c r="C65" s="35">
        <f>VLOOKUP($A65,'NG-Feb-Bill'!$A$15:$X$96,15)</f>
        <v>0</v>
      </c>
      <c r="D65" s="35">
        <f>VLOOKUP($A65,'NG_Mar-Bill'!$A$15:$X$96,15)</f>
        <v>0</v>
      </c>
      <c r="E65" s="35">
        <f>VLOOKUP($A65,'NG-Apr-Bill'!$A$15:$X$96,15)</f>
        <v>0</v>
      </c>
      <c r="F65" s="35">
        <f>VLOOKUP($A65,'NG-May-Bill'!$A$15:$X$96,15)</f>
        <v>0</v>
      </c>
      <c r="G65" s="35">
        <f>VLOOKUP($A65,'NG-Jun-Bill'!$A$15:$X$96,15)</f>
        <v>0</v>
      </c>
      <c r="H65" s="35">
        <f>VLOOKUP($A65,'NG-Jul-Bill'!$A$15:$X$96,15)</f>
        <v>0</v>
      </c>
      <c r="I65" s="35">
        <f>VLOOKUP($A65,'NG-Aug-Bill'!$A$15:$X$96,15)</f>
        <v>0</v>
      </c>
      <c r="J65" s="35">
        <f>VLOOKUP($A65,'NG-Sept-Bill'!$A$15:$X$96,15)</f>
        <v>0</v>
      </c>
      <c r="K65" s="35">
        <f>VLOOKUP($A65,'NG-Oct-Bill'!$A$15:$X$96,15)</f>
        <v>0</v>
      </c>
      <c r="L65" s="35">
        <f>VLOOKUP($A65,'NG-Nov-Bill'!$A$15:$X$96,15)</f>
        <v>0</v>
      </c>
      <c r="M65" s="35">
        <f>VLOOKUP($A65,'NG-Dec-Bill'!$A$15:$X$96,15)</f>
        <v>0</v>
      </c>
      <c r="O65" s="35">
        <f t="shared" si="0"/>
        <v>0</v>
      </c>
    </row>
    <row r="66" spans="1:15">
      <c r="A66" s="40">
        <v>4513814101</v>
      </c>
      <c r="B66" s="35">
        <f>VLOOKUP($A66,'NG-Jan-Bill'!$A$15:$X$96,15)</f>
        <v>2805</v>
      </c>
      <c r="C66" s="35">
        <f>VLOOKUP($A66,'NG-Feb-Bill'!$A$15:$X$96,15)</f>
        <v>2072</v>
      </c>
      <c r="D66" s="35">
        <f>VLOOKUP($A66,'NG_Mar-Bill'!$A$15:$X$96,15)</f>
        <v>2164</v>
      </c>
      <c r="E66" s="35">
        <f>VLOOKUP($A66,'NG-Apr-Bill'!$A$15:$X$96,15)</f>
        <v>1693</v>
      </c>
      <c r="F66" s="35">
        <f>VLOOKUP($A66,'NG-May-Bill'!$A$15:$X$96,15)</f>
        <v>1693</v>
      </c>
      <c r="G66" s="35">
        <f>VLOOKUP($A66,'NG-Jun-Bill'!$A$15:$X$96,15)</f>
        <v>1606</v>
      </c>
      <c r="H66" s="35">
        <f>VLOOKUP($A66,'NG-Jul-Bill'!$A$15:$X$96,15)</f>
        <v>2064</v>
      </c>
      <c r="I66" s="35">
        <f>VLOOKUP($A66,'NG-Aug-Bill'!$A$15:$X$96,15)</f>
        <v>2221</v>
      </c>
      <c r="J66" s="35">
        <f>VLOOKUP($A66,'NG-Sept-Bill'!$A$15:$X$96,15)</f>
        <v>1847</v>
      </c>
      <c r="K66" s="35">
        <f>VLOOKUP($A66,'NG-Oct-Bill'!$A$15:$X$96,15)</f>
        <v>1758</v>
      </c>
      <c r="L66" s="35">
        <f>VLOOKUP($A66,'NG-Nov-Bill'!$A$15:$X$96,15)</f>
        <v>1751</v>
      </c>
      <c r="M66" s="35">
        <f>VLOOKUP($A66,'NG-Dec-Bill'!$A$15:$X$96,15)</f>
        <v>2647</v>
      </c>
      <c r="O66" s="35">
        <f t="shared" si="0"/>
        <v>24321</v>
      </c>
    </row>
    <row r="67" spans="1:15">
      <c r="A67" s="40">
        <v>4533881110</v>
      </c>
      <c r="B67" s="35">
        <f>VLOOKUP($A67,'NG-Jan-Bill'!$A$15:$X$96,15)</f>
        <v>186</v>
      </c>
      <c r="C67" s="35">
        <f>VLOOKUP($A67,'NG-Feb-Bill'!$A$15:$X$96,15)</f>
        <v>159</v>
      </c>
      <c r="D67" s="35">
        <f>VLOOKUP($A67,'NG_Mar-Bill'!$A$15:$X$96,15)</f>
        <v>153</v>
      </c>
      <c r="E67" s="35">
        <f>VLOOKUP($A67,'NG-Apr-Bill'!$A$15:$X$96,15)</f>
        <v>164</v>
      </c>
      <c r="F67" s="35">
        <f>VLOOKUP($A67,'NG-May-Bill'!$A$15:$X$96,15)</f>
        <v>180</v>
      </c>
      <c r="G67" s="35">
        <f>VLOOKUP($A67,'NG-Jun-Bill'!$A$15:$X$96,15)</f>
        <v>159</v>
      </c>
      <c r="H67" s="35">
        <f>VLOOKUP($A67,'NG-Jul-Bill'!$A$15:$X$96,15)</f>
        <v>175</v>
      </c>
      <c r="I67" s="35">
        <f>VLOOKUP($A67,'NG-Aug-Bill'!$A$15:$X$96,15)</f>
        <v>169</v>
      </c>
      <c r="J67" s="35">
        <f>VLOOKUP($A67,'NG-Sept-Bill'!$A$15:$X$96,15)</f>
        <v>159</v>
      </c>
      <c r="K67" s="35">
        <f>VLOOKUP($A67,'NG-Oct-Bill'!$A$15:$X$96,15)</f>
        <v>169</v>
      </c>
      <c r="L67" s="35">
        <f>VLOOKUP($A67,'NG-Nov-Bill'!$A$15:$X$96,15)</f>
        <v>159</v>
      </c>
      <c r="M67" s="35">
        <f>VLOOKUP($A67,'NG-Dec-Bill'!$A$15:$X$96,15)</f>
        <v>164</v>
      </c>
      <c r="O67" s="35">
        <f t="shared" si="0"/>
        <v>1996</v>
      </c>
    </row>
    <row r="68" spans="1:15">
      <c r="A68" s="40">
        <v>4568811105</v>
      </c>
      <c r="B68" s="35">
        <f>VLOOKUP($A68,'NG-Jan-Bill'!$A$15:$X$96,15)</f>
        <v>629</v>
      </c>
      <c r="C68" s="35">
        <f>VLOOKUP($A68,'NG-Feb-Bill'!$A$15:$X$96,15)</f>
        <v>628</v>
      </c>
      <c r="D68" s="35">
        <f>VLOOKUP($A68,'NG_Mar-Bill'!$A$15:$X$96,15)</f>
        <v>652</v>
      </c>
      <c r="E68" s="35">
        <f>VLOOKUP($A68,'NG-Apr-Bill'!$A$15:$X$96,15)</f>
        <v>1103</v>
      </c>
      <c r="F68" s="35">
        <f>VLOOKUP($A68,'NG-May-Bill'!$A$15:$X$96,15)</f>
        <v>895</v>
      </c>
      <c r="G68" s="35">
        <f>VLOOKUP($A68,'NG-Jun-Bill'!$A$15:$X$96,15)</f>
        <v>928</v>
      </c>
      <c r="H68" s="35">
        <f>VLOOKUP($A68,'NG-Jul-Bill'!$A$15:$X$96,15)</f>
        <v>909</v>
      </c>
      <c r="I68" s="35">
        <f>VLOOKUP($A68,'NG-Aug-Bill'!$A$15:$X$96,15)</f>
        <v>1101</v>
      </c>
      <c r="J68" s="35">
        <f>VLOOKUP($A68,'NG-Sept-Bill'!$A$15:$X$96,15)</f>
        <v>934</v>
      </c>
      <c r="K68" s="35">
        <f>VLOOKUP($A68,'NG-Oct-Bill'!$A$15:$X$96,15)</f>
        <v>796</v>
      </c>
      <c r="L68" s="35">
        <f>VLOOKUP($A68,'NG-Nov-Bill'!$A$15:$X$96,15)</f>
        <v>592</v>
      </c>
      <c r="M68" s="35">
        <f>VLOOKUP($A68,'NG-Dec-Bill'!$A$15:$X$96,15)</f>
        <v>592</v>
      </c>
      <c r="O68" s="35">
        <f t="shared" si="0"/>
        <v>9759</v>
      </c>
    </row>
    <row r="69" spans="1:15">
      <c r="A69" s="40">
        <v>4588811101</v>
      </c>
      <c r="B69" s="35">
        <f>VLOOKUP($A69,'NG-Jan-Bill'!$A$15:$X$96,15)</f>
        <v>40</v>
      </c>
      <c r="C69" s="35">
        <f>VLOOKUP($A69,'NG-Feb-Bill'!$A$15:$X$96,15)</f>
        <v>40</v>
      </c>
      <c r="D69" s="35">
        <f>VLOOKUP($A69,'NG_Mar-Bill'!$A$15:$X$96,15)</f>
        <v>0</v>
      </c>
      <c r="E69" s="35">
        <f>VLOOKUP($A69,'NG-Apr-Bill'!$A$15:$X$96,15)</f>
        <v>40</v>
      </c>
      <c r="F69" s="35">
        <f>VLOOKUP($A69,'NG-May-Bill'!$A$15:$X$96,15)</f>
        <v>0</v>
      </c>
      <c r="G69" s="35">
        <f>VLOOKUP($A69,'NG-Jun-Bill'!$A$15:$X$96,15)</f>
        <v>40</v>
      </c>
      <c r="H69" s="35">
        <f>VLOOKUP($A69,'NG-Jul-Bill'!$A$15:$X$96,15)</f>
        <v>760</v>
      </c>
      <c r="I69" s="35">
        <f>VLOOKUP($A69,'NG-Aug-Bill'!$A$15:$X$96,15)</f>
        <v>840</v>
      </c>
      <c r="J69" s="35">
        <f>VLOOKUP($A69,'NG-Sept-Bill'!$A$15:$X$96,15)</f>
        <v>800</v>
      </c>
      <c r="K69" s="35">
        <f>VLOOKUP($A69,'NG-Oct-Bill'!$A$15:$X$96,15)</f>
        <v>2080</v>
      </c>
      <c r="L69" s="35">
        <f>VLOOKUP($A69,'NG-Nov-Bill'!$A$15:$X$96,15)</f>
        <v>120</v>
      </c>
      <c r="M69" s="35">
        <f>VLOOKUP($A69,'NG-Dec-Bill'!$A$15:$X$96,15)</f>
        <v>40</v>
      </c>
      <c r="O69" s="35">
        <f t="shared" si="0"/>
        <v>4800</v>
      </c>
    </row>
    <row r="70" spans="1:15">
      <c r="A70" s="40">
        <v>4794009102</v>
      </c>
      <c r="B70" s="35">
        <f>VLOOKUP($A70,'NG-Jan-Bill'!$A$15:$X$96,15)</f>
        <v>1952</v>
      </c>
      <c r="C70" s="35">
        <f>VLOOKUP($A70,'NG-Feb-Bill'!$A$15:$X$96,15)</f>
        <v>2365</v>
      </c>
      <c r="D70" s="35">
        <f>VLOOKUP($A70,'NG_Mar-Bill'!$A$15:$X$96,15)</f>
        <v>2538</v>
      </c>
      <c r="E70" s="35">
        <f>VLOOKUP($A70,'NG-Apr-Bill'!$A$15:$X$96,15)</f>
        <v>2273</v>
      </c>
      <c r="F70" s="35">
        <f>VLOOKUP($A70,'NG-May-Bill'!$A$15:$X$96,15)</f>
        <v>1856</v>
      </c>
      <c r="G70" s="35">
        <f>VLOOKUP($A70,'NG-Jun-Bill'!$A$15:$X$96,15)</f>
        <v>700</v>
      </c>
      <c r="H70" s="35">
        <f>VLOOKUP($A70,'NG-Jul-Bill'!$A$15:$X$96,15)</f>
        <v>700</v>
      </c>
      <c r="I70" s="35">
        <f>VLOOKUP($A70,'NG-Aug-Bill'!$A$15:$X$96,15)</f>
        <v>613</v>
      </c>
      <c r="J70" s="35">
        <f>VLOOKUP($A70,'NG-Sept-Bill'!$A$15:$X$96,15)</f>
        <v>633</v>
      </c>
      <c r="K70" s="35">
        <f>VLOOKUP($A70,'NG-Oct-Bill'!$A$15:$X$96,15)</f>
        <v>599</v>
      </c>
      <c r="L70" s="35">
        <f>VLOOKUP($A70,'NG-Nov-Bill'!$A$15:$X$96,15)</f>
        <v>618</v>
      </c>
      <c r="M70" s="35">
        <f>VLOOKUP($A70,'NG-Dec-Bill'!$A$15:$X$96,15)</f>
        <v>1164</v>
      </c>
      <c r="O70" s="35">
        <f t="shared" si="0"/>
        <v>16011</v>
      </c>
    </row>
    <row r="71" spans="1:15">
      <c r="A71" s="40">
        <v>5048811100</v>
      </c>
      <c r="B71" s="35">
        <f>VLOOKUP($A71,'NG-Jan-Bill'!$A$15:$X$96,15)</f>
        <v>281</v>
      </c>
      <c r="C71" s="35">
        <f>VLOOKUP($A71,'NG-Feb-Bill'!$A$15:$X$96,15)</f>
        <v>226</v>
      </c>
      <c r="D71" s="35">
        <f>VLOOKUP($A71,'NG_Mar-Bill'!$A$15:$X$96,15)</f>
        <v>223</v>
      </c>
      <c r="E71" s="35">
        <f>VLOOKUP($A71,'NG-Apr-Bill'!$A$15:$X$96,15)</f>
        <v>227</v>
      </c>
      <c r="F71" s="35">
        <f>VLOOKUP($A71,'NG-May-Bill'!$A$15:$X$96,15)</f>
        <v>221</v>
      </c>
      <c r="G71" s="35">
        <f>VLOOKUP($A71,'NG-Jun-Bill'!$A$15:$X$96,15)</f>
        <v>210</v>
      </c>
      <c r="H71" s="35">
        <f>VLOOKUP($A71,'NG-Jul-Bill'!$A$15:$X$96,15)</f>
        <v>199</v>
      </c>
      <c r="I71" s="35">
        <f>VLOOKUP($A71,'NG-Aug-Bill'!$A$15:$X$96,15)</f>
        <v>219</v>
      </c>
      <c r="J71" s="35">
        <f>VLOOKUP($A71,'NG-Sept-Bill'!$A$15:$X$96,15)</f>
        <v>266</v>
      </c>
      <c r="K71" s="35">
        <f>VLOOKUP($A71,'NG-Oct-Bill'!$A$15:$X$96,15)</f>
        <v>212</v>
      </c>
      <c r="L71" s="35">
        <f>VLOOKUP($A71,'NG-Nov-Bill'!$A$15:$X$96,15)</f>
        <v>213</v>
      </c>
      <c r="M71" s="35">
        <f>VLOOKUP($A71,'NG-Dec-Bill'!$A$15:$X$96,15)</f>
        <v>245</v>
      </c>
      <c r="O71" s="35">
        <f t="shared" si="0"/>
        <v>2742</v>
      </c>
    </row>
    <row r="72" spans="1:15">
      <c r="A72" s="40">
        <v>5293880104</v>
      </c>
      <c r="B72" s="35">
        <f>VLOOKUP($A72,'NG-Jan-Bill'!$A$15:$X$96,15)</f>
        <v>46402</v>
      </c>
      <c r="C72" s="35">
        <f>VLOOKUP($A72,'NG-Feb-Bill'!$A$15:$X$96,15)</f>
        <v>36948</v>
      </c>
      <c r="D72" s="35">
        <f>VLOOKUP($A72,'NG_Mar-Bill'!$A$15:$X$96,15)</f>
        <v>31943</v>
      </c>
      <c r="E72" s="35">
        <f>VLOOKUP($A72,'NG-Apr-Bill'!$A$15:$X$96,15)</f>
        <v>30334</v>
      </c>
      <c r="F72" s="35">
        <f>VLOOKUP($A72,'NG-May-Bill'!$A$15:$X$96,15)</f>
        <v>28955</v>
      </c>
      <c r="G72" s="35">
        <f>VLOOKUP($A72,'NG-Jun-Bill'!$A$15:$X$96,15)</f>
        <v>22998</v>
      </c>
      <c r="H72" s="35">
        <f>VLOOKUP($A72,'NG-Jul-Bill'!$A$15:$X$96,15)</f>
        <v>25405</v>
      </c>
      <c r="I72" s="35">
        <f>VLOOKUP($A72,'NG-Aug-Bill'!$A$15:$X$96,15)</f>
        <v>27376</v>
      </c>
      <c r="J72" s="35">
        <f>VLOOKUP($A72,'NG-Sept-Bill'!$A$15:$X$96,15)</f>
        <v>29243</v>
      </c>
      <c r="K72" s="35">
        <f>VLOOKUP($A72,'NG-Oct-Bill'!$A$15:$X$96,15)</f>
        <v>35610</v>
      </c>
      <c r="L72" s="35">
        <f>VLOOKUP($A72,'NG-Nov-Bill'!$A$15:$X$96,15)</f>
        <v>37104</v>
      </c>
      <c r="M72" s="35">
        <f>VLOOKUP($A72,'NG-Dec-Bill'!$A$15:$X$96,15)</f>
        <v>40977</v>
      </c>
      <c r="O72" s="35">
        <f t="shared" si="0"/>
        <v>393295</v>
      </c>
    </row>
    <row r="73" spans="1:15">
      <c r="A73" s="40">
        <v>5333812119</v>
      </c>
      <c r="B73" s="35">
        <f>VLOOKUP($A73,'NG-Jan-Bill'!$A$15:$X$96,15)</f>
        <v>344</v>
      </c>
      <c r="C73" s="35">
        <f>VLOOKUP($A73,'NG-Feb-Bill'!$A$15:$X$96,15)</f>
        <v>395</v>
      </c>
      <c r="D73" s="35">
        <f>VLOOKUP($A73,'NG_Mar-Bill'!$A$15:$X$96,15)</f>
        <v>344</v>
      </c>
      <c r="E73" s="35">
        <f>VLOOKUP($A73,'NG-Apr-Bill'!$A$15:$X$96,15)</f>
        <v>362</v>
      </c>
      <c r="F73" s="35">
        <f>VLOOKUP($A73,'NG-May-Bill'!$A$15:$X$96,15)</f>
        <v>310</v>
      </c>
      <c r="G73" s="35">
        <f>VLOOKUP($A73,'NG-Jun-Bill'!$A$15:$X$96,15)</f>
        <v>282</v>
      </c>
      <c r="H73" s="35">
        <f>VLOOKUP($A73,'NG-Jul-Bill'!$A$15:$X$96,15)</f>
        <v>290</v>
      </c>
      <c r="I73" s="35">
        <f>VLOOKUP($A73,'NG-Aug-Bill'!$A$15:$X$96,15)</f>
        <v>338</v>
      </c>
      <c r="J73" s="35">
        <f>VLOOKUP($A73,'NG-Sept-Bill'!$A$15:$X$96,15)</f>
        <v>286</v>
      </c>
      <c r="K73" s="35">
        <f>VLOOKUP($A73,'NG-Oct-Bill'!$A$15:$X$96,15)</f>
        <v>339</v>
      </c>
      <c r="L73" s="35">
        <f>VLOOKUP($A73,'NG-Nov-Bill'!$A$15:$X$96,15)</f>
        <v>432</v>
      </c>
      <c r="M73" s="35">
        <f>VLOOKUP($A73,'NG-Dec-Bill'!$A$15:$X$96,15)</f>
        <v>368</v>
      </c>
      <c r="O73" s="35">
        <f t="shared" si="0"/>
        <v>4090</v>
      </c>
    </row>
    <row r="74" spans="1:15">
      <c r="A74" s="40">
        <v>5513812108</v>
      </c>
      <c r="B74" s="35">
        <f>VLOOKUP($A74,'NG-Jan-Bill'!$A$15:$X$96,15)</f>
        <v>2189</v>
      </c>
      <c r="C74" s="35">
        <f>VLOOKUP($A74,'NG-Feb-Bill'!$A$15:$X$96,15)</f>
        <v>3082</v>
      </c>
      <c r="D74" s="35">
        <f>VLOOKUP($A74,'NG_Mar-Bill'!$A$15:$X$96,15)</f>
        <v>1958</v>
      </c>
      <c r="E74" s="35">
        <f>VLOOKUP($A74,'NG-Apr-Bill'!$A$15:$X$96,15)</f>
        <v>1439</v>
      </c>
      <c r="F74" s="35">
        <f>VLOOKUP($A74,'NG-May-Bill'!$A$15:$X$96,15)</f>
        <v>1344</v>
      </c>
      <c r="G74" s="35">
        <f>VLOOKUP($A74,'NG-Jun-Bill'!$A$15:$X$96,15)</f>
        <v>976</v>
      </c>
      <c r="H74" s="35">
        <f>VLOOKUP($A74,'NG-Jul-Bill'!$A$15:$X$96,15)</f>
        <v>1041</v>
      </c>
      <c r="I74" s="35">
        <f>VLOOKUP($A74,'NG-Aug-Bill'!$A$15:$X$96,15)</f>
        <v>1346</v>
      </c>
      <c r="J74" s="35">
        <f>VLOOKUP($A74,'NG-Sept-Bill'!$A$15:$X$96,15)</f>
        <v>727</v>
      </c>
      <c r="K74" s="35">
        <f>VLOOKUP($A74,'NG-Oct-Bill'!$A$15:$X$96,15)</f>
        <v>828</v>
      </c>
      <c r="L74" s="35">
        <f>VLOOKUP($A74,'NG-Nov-Bill'!$A$15:$X$96,15)</f>
        <v>1454</v>
      </c>
      <c r="M74" s="35">
        <f>VLOOKUP($A74,'NG-Dec-Bill'!$A$15:$X$96,15)</f>
        <v>2096</v>
      </c>
      <c r="O74" s="35">
        <f t="shared" si="0"/>
        <v>18480</v>
      </c>
    </row>
    <row r="75" spans="1:15">
      <c r="A75" s="40">
        <v>5613808124</v>
      </c>
      <c r="B75" s="35">
        <f>VLOOKUP($A75,'NG-Jan-Bill'!$A$15:$X$96,15)</f>
        <v>0</v>
      </c>
      <c r="C75" s="35">
        <f>VLOOKUP($A75,'NG-Feb-Bill'!$A$15:$X$96,15)</f>
        <v>0</v>
      </c>
      <c r="D75" s="35">
        <f>VLOOKUP($A75,'NG_Mar-Bill'!$A$15:$X$96,15)</f>
        <v>0</v>
      </c>
      <c r="E75" s="35">
        <f>VLOOKUP($A75,'NG-Apr-Bill'!$A$15:$X$96,15)</f>
        <v>23</v>
      </c>
      <c r="F75" s="35">
        <f>VLOOKUP($A75,'NG-May-Bill'!$A$15:$X$96,15)</f>
        <v>958</v>
      </c>
      <c r="G75" s="35">
        <f>VLOOKUP($A75,'NG-Jun-Bill'!$A$15:$X$96,15)</f>
        <v>167</v>
      </c>
      <c r="H75" s="35">
        <f>VLOOKUP($A75,'NG-Jul-Bill'!$A$15:$X$96,15)</f>
        <v>186</v>
      </c>
      <c r="I75" s="35">
        <f>VLOOKUP($A75,'NG-Aug-Bill'!$A$15:$X$96,15)</f>
        <v>1022</v>
      </c>
      <c r="J75" s="35">
        <f>VLOOKUP($A75,'NG-Sept-Bill'!$A$15:$X$96,15)</f>
        <v>1003</v>
      </c>
      <c r="K75" s="35">
        <f>VLOOKUP($A75,'NG-Oct-Bill'!$A$15:$X$96,15)</f>
        <v>404</v>
      </c>
      <c r="L75" s="35">
        <f>VLOOKUP($A75,'NG-Nov-Bill'!$A$15:$X$96,15)</f>
        <v>378</v>
      </c>
      <c r="M75" s="35">
        <f>VLOOKUP($A75,'NG-Dec-Bill'!$A$15:$X$96,15)</f>
        <v>100</v>
      </c>
      <c r="O75" s="35">
        <f t="shared" si="0"/>
        <v>4241</v>
      </c>
    </row>
    <row r="76" spans="1:15">
      <c r="A76" s="40">
        <v>5668811108</v>
      </c>
      <c r="B76" s="35">
        <f>VLOOKUP($A76,'NG-Jan-Bill'!$A$15:$X$96,15)</f>
        <v>78</v>
      </c>
      <c r="C76" s="35">
        <f>VLOOKUP($A76,'NG-Feb-Bill'!$A$15:$X$96,15)</f>
        <v>71</v>
      </c>
      <c r="D76" s="35">
        <f>VLOOKUP($A76,'NG_Mar-Bill'!$A$15:$X$96,15)</f>
        <v>67</v>
      </c>
      <c r="E76" s="35">
        <f>VLOOKUP($A76,'NG-Apr-Bill'!$A$15:$X$96,15)</f>
        <v>77</v>
      </c>
      <c r="F76" s="35">
        <f>VLOOKUP($A76,'NG-May-Bill'!$A$15:$X$96,15)</f>
        <v>109</v>
      </c>
      <c r="G76" s="35">
        <f>VLOOKUP($A76,'NG-Jun-Bill'!$A$15:$X$96,15)</f>
        <v>111</v>
      </c>
      <c r="H76" s="35">
        <f>VLOOKUP($A76,'NG-Jul-Bill'!$A$15:$X$96,15)</f>
        <v>109</v>
      </c>
      <c r="I76" s="35">
        <f>VLOOKUP($A76,'NG-Aug-Bill'!$A$15:$X$96,15)</f>
        <v>140</v>
      </c>
      <c r="J76" s="35">
        <f>VLOOKUP($A76,'NG-Sept-Bill'!$A$15:$X$96,15)</f>
        <v>105</v>
      </c>
      <c r="K76" s="35">
        <f>VLOOKUP($A76,'NG-Oct-Bill'!$A$15:$X$96,15)</f>
        <v>101</v>
      </c>
      <c r="L76" s="35">
        <f>VLOOKUP($A76,'NG-Nov-Bill'!$A$15:$X$96,15)</f>
        <v>99</v>
      </c>
      <c r="M76" s="35">
        <f>VLOOKUP($A76,'NG-Dec-Bill'!$A$15:$X$96,15)</f>
        <v>77</v>
      </c>
      <c r="O76" s="35">
        <f t="shared" si="0"/>
        <v>1144</v>
      </c>
    </row>
    <row r="77" spans="1:15">
      <c r="A77" s="40">
        <v>5748811104</v>
      </c>
      <c r="B77" s="35">
        <f>VLOOKUP($A77,'NG-Jan-Bill'!$A$15:$X$96,15)</f>
        <v>13</v>
      </c>
      <c r="C77" s="35">
        <f>VLOOKUP($A77,'NG-Feb-Bill'!$A$15:$X$96,15)</f>
        <v>13</v>
      </c>
      <c r="D77" s="35">
        <f>VLOOKUP($A77,'NG_Mar-Bill'!$A$15:$X$96,15)</f>
        <v>12</v>
      </c>
      <c r="E77" s="35">
        <f>VLOOKUP($A77,'NG-Apr-Bill'!$A$15:$X$96,15)</f>
        <v>10</v>
      </c>
      <c r="F77" s="35">
        <f>VLOOKUP($A77,'NG-May-Bill'!$A$15:$X$96,15)</f>
        <v>9</v>
      </c>
      <c r="G77" s="35">
        <f>VLOOKUP($A77,'NG-Jun-Bill'!$A$15:$X$96,15)</f>
        <v>8</v>
      </c>
      <c r="H77" s="35">
        <f>VLOOKUP($A77,'NG-Jul-Bill'!$A$15:$X$96,15)</f>
        <v>7</v>
      </c>
      <c r="I77" s="35">
        <f>VLOOKUP($A77,'NG-Aug-Bill'!$A$15:$X$96,15)</f>
        <v>8</v>
      </c>
      <c r="J77" s="35">
        <f>VLOOKUP($A77,'NG-Sept-Bill'!$A$15:$X$96,15)</f>
        <v>9</v>
      </c>
      <c r="K77" s="35">
        <f>VLOOKUP($A77,'NG-Oct-Bill'!$A$15:$X$96,15)</f>
        <v>9</v>
      </c>
      <c r="L77" s="35">
        <f>VLOOKUP($A77,'NG-Nov-Bill'!$A$15:$X$96,15)</f>
        <v>12</v>
      </c>
      <c r="M77" s="35">
        <f>VLOOKUP($A77,'NG-Dec-Bill'!$A$15:$X$96,15)</f>
        <v>14</v>
      </c>
      <c r="O77" s="35">
        <f t="shared" si="0"/>
        <v>124</v>
      </c>
    </row>
    <row r="78" spans="1:15">
      <c r="A78" s="40">
        <v>5828811100</v>
      </c>
      <c r="B78" s="35">
        <f>VLOOKUP($A78,'NG-Jan-Bill'!$A$15:$X$96,15)</f>
        <v>10</v>
      </c>
      <c r="C78" s="35">
        <f>VLOOKUP($A78,'NG-Feb-Bill'!$A$15:$X$96,15)</f>
        <v>9</v>
      </c>
      <c r="D78" s="35">
        <f>VLOOKUP($A78,'NG_Mar-Bill'!$A$15:$X$96,15)</f>
        <v>9</v>
      </c>
      <c r="E78" s="35">
        <f>VLOOKUP($A78,'NG-Apr-Bill'!$A$15:$X$96,15)</f>
        <v>8</v>
      </c>
      <c r="F78" s="35">
        <f>VLOOKUP($A78,'NG-May-Bill'!$A$15:$X$96,15)</f>
        <v>6</v>
      </c>
      <c r="G78" s="35">
        <f>VLOOKUP($A78,'NG-Jun-Bill'!$A$15:$X$96,15)</f>
        <v>3</v>
      </c>
      <c r="H78" s="35">
        <f>VLOOKUP($A78,'NG-Jul-Bill'!$A$15:$X$96,15)</f>
        <v>0</v>
      </c>
      <c r="I78" s="35">
        <f>VLOOKUP($A78,'NG-Aug-Bill'!$A$15:$X$96,15)</f>
        <v>4</v>
      </c>
      <c r="J78" s="35">
        <f>VLOOKUP($A78,'NG-Sept-Bill'!$A$15:$X$96,15)</f>
        <v>3</v>
      </c>
      <c r="K78" s="35">
        <f>VLOOKUP($A78,'NG-Oct-Bill'!$A$15:$X$96,15)</f>
        <v>9</v>
      </c>
      <c r="L78" s="35">
        <f>VLOOKUP($A78,'NG-Nov-Bill'!$A$15:$X$96,15)</f>
        <v>15</v>
      </c>
      <c r="M78" s="35">
        <f>VLOOKUP($A78,'NG-Dec-Bill'!$A$15:$X$96,15)</f>
        <v>18</v>
      </c>
      <c r="O78" s="35">
        <f t="shared" si="0"/>
        <v>94</v>
      </c>
    </row>
    <row r="79" spans="1:15">
      <c r="A79" s="40">
        <v>5913814119</v>
      </c>
      <c r="B79" s="35">
        <f>VLOOKUP($A79,'NG-Jan-Bill'!$A$15:$X$96,15)</f>
        <v>3656</v>
      </c>
      <c r="C79" s="35">
        <f>VLOOKUP($A79,'NG-Feb-Bill'!$A$15:$X$96,15)</f>
        <v>3440</v>
      </c>
      <c r="D79" s="35">
        <f>VLOOKUP($A79,'NG_Mar-Bill'!$A$15:$X$96,15)</f>
        <v>3287</v>
      </c>
      <c r="E79" s="35">
        <f>VLOOKUP($A79,'NG-Apr-Bill'!$A$15:$X$96,15)</f>
        <v>2762</v>
      </c>
      <c r="F79" s="35">
        <f>VLOOKUP($A79,'NG-May-Bill'!$A$15:$X$96,15)</f>
        <v>2499</v>
      </c>
      <c r="G79" s="35">
        <f>VLOOKUP($A79,'NG-Jun-Bill'!$A$15:$X$96,15)</f>
        <v>2642</v>
      </c>
      <c r="H79" s="35">
        <f>VLOOKUP($A79,'NG-Jul-Bill'!$A$15:$X$96,15)</f>
        <v>2452</v>
      </c>
      <c r="I79" s="35">
        <f>VLOOKUP($A79,'NG-Aug-Bill'!$A$15:$X$96,15)</f>
        <v>2701</v>
      </c>
      <c r="J79" s="35">
        <f>VLOOKUP($A79,'NG-Sept-Bill'!$A$15:$X$96,15)</f>
        <v>2466</v>
      </c>
      <c r="K79" s="35">
        <f>VLOOKUP($A79,'NG-Oct-Bill'!$A$15:$X$96,15)</f>
        <v>2497</v>
      </c>
      <c r="L79" s="35">
        <f>VLOOKUP($A79,'NG-Nov-Bill'!$A$15:$X$96,15)</f>
        <v>2814</v>
      </c>
      <c r="M79" s="35">
        <f>VLOOKUP($A79,'NG-Dec-Bill'!$A$15:$X$96,15)</f>
        <v>3696</v>
      </c>
      <c r="O79" s="35">
        <f t="shared" si="0"/>
        <v>34912</v>
      </c>
    </row>
    <row r="80" spans="1:15">
      <c r="A80" s="40">
        <v>5933814115</v>
      </c>
      <c r="B80" s="35">
        <f>VLOOKUP($A80,'NG-Jan-Bill'!$A$15:$X$96,15)</f>
        <v>3889</v>
      </c>
      <c r="C80" s="35">
        <f>VLOOKUP($A80,'NG-Feb-Bill'!$A$15:$X$96,15)</f>
        <v>4823</v>
      </c>
      <c r="D80" s="35">
        <f>VLOOKUP($A80,'NG_Mar-Bill'!$A$15:$X$96,15)</f>
        <v>4182</v>
      </c>
      <c r="E80" s="35">
        <f>VLOOKUP($A80,'NG-Apr-Bill'!$A$15:$X$96,15)</f>
        <v>4681</v>
      </c>
      <c r="F80" s="35">
        <f>VLOOKUP($A80,'NG-May-Bill'!$A$15:$X$96,15)</f>
        <v>3228</v>
      </c>
      <c r="G80" s="35">
        <f>VLOOKUP($A80,'NG-Jun-Bill'!$A$15:$X$96,15)</f>
        <v>16278</v>
      </c>
      <c r="H80" s="35">
        <f>VLOOKUP($A80,'NG-Jul-Bill'!$A$15:$X$96,15)</f>
        <v>17931</v>
      </c>
      <c r="I80" s="35">
        <f>VLOOKUP($A80,'NG-Aug-Bill'!$A$15:$X$96,15)</f>
        <v>19829</v>
      </c>
      <c r="J80" s="35">
        <f>VLOOKUP($A80,'NG-Sept-Bill'!$A$15:$X$96,15)</f>
        <v>13331</v>
      </c>
      <c r="K80" s="35">
        <f>VLOOKUP($A80,'NG-Oct-Bill'!$A$15:$X$96,15)</f>
        <v>1396</v>
      </c>
      <c r="L80" s="35">
        <f>VLOOKUP($A80,'NG-Nov-Bill'!$A$15:$X$96,15)</f>
        <v>3389</v>
      </c>
      <c r="M80" s="35">
        <f>VLOOKUP($A80,'NG-Dec-Bill'!$A$15:$X$96,15)</f>
        <v>5514</v>
      </c>
      <c r="O80" s="35">
        <f t="shared" ref="O80:O96" si="1">SUM(B80:N80)</f>
        <v>98471</v>
      </c>
    </row>
    <row r="81" spans="1:15">
      <c r="A81" s="40">
        <v>6053820112</v>
      </c>
      <c r="B81" s="35">
        <f>VLOOKUP($A81,'NG-Jan-Bill'!$A$15:$X$96,15)</f>
        <v>32</v>
      </c>
      <c r="C81" s="35">
        <f>VLOOKUP($A81,'NG-Feb-Bill'!$A$15:$X$96,15)</f>
        <v>28</v>
      </c>
      <c r="D81" s="35">
        <f>VLOOKUP($A81,'NG_Mar-Bill'!$A$15:$X$96,15)</f>
        <v>28</v>
      </c>
      <c r="E81" s="35">
        <f>VLOOKUP($A81,'NG-Apr-Bill'!$A$15:$X$96,15)</f>
        <v>31</v>
      </c>
      <c r="F81" s="35">
        <f>VLOOKUP($A81,'NG-May-Bill'!$A$15:$X$96,15)</f>
        <v>29</v>
      </c>
      <c r="G81" s="35">
        <f>VLOOKUP($A81,'NG-Jun-Bill'!$A$15:$X$96,15)</f>
        <v>29</v>
      </c>
      <c r="H81" s="35">
        <f>VLOOKUP($A81,'NG-Jul-Bill'!$A$15:$X$96,15)</f>
        <v>28</v>
      </c>
      <c r="I81" s="35">
        <f>VLOOKUP($A81,'NG-Aug-Bill'!$A$15:$X$96,15)</f>
        <v>32</v>
      </c>
      <c r="J81" s="35">
        <f>VLOOKUP($A81,'NG-Sept-Bill'!$A$15:$X$96,15)</f>
        <v>26</v>
      </c>
      <c r="K81" s="35">
        <f>VLOOKUP($A81,'NG-Oct-Bill'!$A$15:$X$96,15)</f>
        <v>28</v>
      </c>
      <c r="L81" s="35">
        <f>VLOOKUP($A81,'NG-Nov-Bill'!$A$15:$X$96,15)</f>
        <v>28</v>
      </c>
      <c r="M81" s="35">
        <f>VLOOKUP($A81,'NG-Dec-Bill'!$A$15:$X$96,15)</f>
        <v>30</v>
      </c>
      <c r="O81" s="35">
        <f t="shared" si="1"/>
        <v>349</v>
      </c>
    </row>
    <row r="82" spans="1:15">
      <c r="A82" s="40">
        <v>6173817104</v>
      </c>
      <c r="B82" s="35">
        <f>VLOOKUP($A82,'NG-Jan-Bill'!$A$15:$X$96,15)</f>
        <v>399</v>
      </c>
      <c r="C82" s="35">
        <f>VLOOKUP($A82,'NG-Feb-Bill'!$A$15:$X$96,15)</f>
        <v>268</v>
      </c>
      <c r="D82" s="35">
        <f>VLOOKUP($A82,'NG_Mar-Bill'!$A$15:$X$96,15)</f>
        <v>266</v>
      </c>
      <c r="E82" s="35">
        <f>VLOOKUP($A82,'NG-Apr-Bill'!$A$15:$X$96,15)</f>
        <v>295</v>
      </c>
      <c r="F82" s="35">
        <f>VLOOKUP($A82,'NG-May-Bill'!$A$15:$X$96,15)</f>
        <v>293</v>
      </c>
      <c r="G82" s="35">
        <f>VLOOKUP($A82,'NG-Jun-Bill'!$A$15:$X$96,15)</f>
        <v>387</v>
      </c>
      <c r="H82" s="35">
        <f>VLOOKUP($A82,'NG-Jul-Bill'!$A$15:$X$96,15)</f>
        <v>379</v>
      </c>
      <c r="I82" s="35">
        <f>VLOOKUP($A82,'NG-Aug-Bill'!$A$15:$X$96,15)</f>
        <v>414</v>
      </c>
      <c r="J82" s="35">
        <f>VLOOKUP($A82,'NG-Sept-Bill'!$A$15:$X$96,15)</f>
        <v>354</v>
      </c>
      <c r="K82" s="35">
        <f>VLOOKUP($A82,'NG-Oct-Bill'!$A$15:$X$96,15)</f>
        <v>364</v>
      </c>
      <c r="L82" s="35">
        <f>VLOOKUP($A82,'NG-Nov-Bill'!$A$15:$X$96,15)</f>
        <v>363</v>
      </c>
      <c r="M82" s="35">
        <f>VLOOKUP($A82,'NG-Dec-Bill'!$A$15:$X$96,15)</f>
        <v>401</v>
      </c>
      <c r="O82" s="35">
        <f t="shared" si="1"/>
        <v>4183</v>
      </c>
    </row>
    <row r="83" spans="1:15">
      <c r="A83" s="40">
        <v>6368810106</v>
      </c>
      <c r="B83" s="35">
        <f>VLOOKUP($A83,'NG-Jan-Bill'!$A$15:$X$96,15)</f>
        <v>0</v>
      </c>
      <c r="C83" s="35">
        <f>VLOOKUP($A83,'NG-Feb-Bill'!$A$15:$X$96,15)</f>
        <v>0</v>
      </c>
      <c r="D83" s="35">
        <f>VLOOKUP($A83,'NG_Mar-Bill'!$A$15:$X$96,15)</f>
        <v>0</v>
      </c>
      <c r="E83" s="35">
        <f>VLOOKUP($A83,'NG-Apr-Bill'!$A$15:$X$96,15)</f>
        <v>0</v>
      </c>
      <c r="F83" s="35">
        <f>VLOOKUP($A83,'NG-May-Bill'!$A$15:$X$96,15)</f>
        <v>1219</v>
      </c>
      <c r="G83" s="35">
        <f>VLOOKUP($A83,'NG-Jun-Bill'!$A$15:$X$96,15)</f>
        <v>1410</v>
      </c>
      <c r="H83" s="35">
        <f>VLOOKUP($A83,'NG-Jul-Bill'!$A$15:$X$96,15)</f>
        <v>2520</v>
      </c>
      <c r="I83" s="35">
        <f>VLOOKUP($A83,'NG-Aug-Bill'!$A$15:$X$96,15)</f>
        <v>4718</v>
      </c>
      <c r="J83" s="35">
        <f>VLOOKUP($A83,'NG-Sept-Bill'!$A$15:$X$96,15)</f>
        <v>4276</v>
      </c>
      <c r="K83" s="35">
        <f>VLOOKUP($A83,'NG-Oct-Bill'!$A$15:$X$96,15)</f>
        <v>2083</v>
      </c>
      <c r="L83" s="35">
        <f>VLOOKUP($A83,'NG-Nov-Bill'!$A$15:$X$96,15)</f>
        <v>223</v>
      </c>
      <c r="M83" s="35">
        <f>VLOOKUP($A83,'NG-Dec-Bill'!$A$15:$X$96,15)</f>
        <v>102</v>
      </c>
      <c r="O83" s="35">
        <f t="shared" si="1"/>
        <v>16551</v>
      </c>
    </row>
    <row r="84" spans="1:15">
      <c r="A84" s="40">
        <v>6853819124</v>
      </c>
      <c r="B84" s="35">
        <f>VLOOKUP($A84,'NG-Jan-Bill'!$A$15:$X$96,15)</f>
        <v>60</v>
      </c>
      <c r="C84" s="35">
        <f>VLOOKUP($A84,'NG-Feb-Bill'!$A$15:$X$96,15)</f>
        <v>52</v>
      </c>
      <c r="D84" s="35">
        <f>VLOOKUP($A84,'NG_Mar-Bill'!$A$15:$X$96,15)</f>
        <v>50</v>
      </c>
      <c r="E84" s="35">
        <f>VLOOKUP($A84,'NG-Apr-Bill'!$A$15:$X$96,15)</f>
        <v>126</v>
      </c>
      <c r="F84" s="35">
        <f>VLOOKUP($A84,'NG-May-Bill'!$A$15:$X$96,15)</f>
        <v>432</v>
      </c>
      <c r="G84" s="35">
        <f>VLOOKUP($A84,'NG-Jun-Bill'!$A$15:$X$96,15)</f>
        <v>265</v>
      </c>
      <c r="H84" s="35">
        <f>VLOOKUP($A84,'NG-Jul-Bill'!$A$15:$X$96,15)</f>
        <v>223</v>
      </c>
      <c r="I84" s="35">
        <f>VLOOKUP($A84,'NG-Aug-Bill'!$A$15:$X$96,15)</f>
        <v>195</v>
      </c>
      <c r="J84" s="35">
        <f>VLOOKUP($A84,'NG-Sept-Bill'!$A$15:$X$96,15)</f>
        <v>216</v>
      </c>
      <c r="K84" s="35">
        <f>VLOOKUP($A84,'NG-Oct-Bill'!$A$15:$X$96,15)</f>
        <v>300</v>
      </c>
      <c r="L84" s="35">
        <f>VLOOKUP($A84,'NG-Nov-Bill'!$A$15:$X$96,15)</f>
        <v>292</v>
      </c>
      <c r="M84" s="35">
        <f>VLOOKUP($A84,'NG-Dec-Bill'!$A$15:$X$96,15)</f>
        <v>64</v>
      </c>
      <c r="O84" s="35">
        <f t="shared" si="1"/>
        <v>2275</v>
      </c>
    </row>
    <row r="85" spans="1:15">
      <c r="A85" s="40">
        <v>6857311003</v>
      </c>
      <c r="B85" s="35">
        <f>VLOOKUP($A85,'NG-Jan-Bill'!$A$15:$X$96,15)</f>
        <v>4</v>
      </c>
      <c r="C85" s="35">
        <f>VLOOKUP($A85,'NG-Feb-Bill'!$A$15:$X$96,15)</f>
        <v>4</v>
      </c>
      <c r="D85" s="35">
        <f>VLOOKUP($A85,'NG_Mar-Bill'!$A$15:$X$96,15)</f>
        <v>4</v>
      </c>
      <c r="E85" s="35">
        <f>VLOOKUP($A85,'NG-Apr-Bill'!$A$15:$X$96,15)</f>
        <v>5</v>
      </c>
      <c r="F85" s="35">
        <f>VLOOKUP($A85,'NG-May-Bill'!$A$15:$X$96,15)</f>
        <v>4</v>
      </c>
      <c r="G85" s="35">
        <f>VLOOKUP($A85,'NG-Jun-Bill'!$A$15:$X$96,15)</f>
        <v>5</v>
      </c>
      <c r="H85" s="35">
        <f>VLOOKUP($A85,'NG-Jul-Bill'!$A$15:$X$96,15)</f>
        <v>4</v>
      </c>
      <c r="I85" s="35">
        <f>VLOOKUP($A85,'NG-Aug-Bill'!$A$15:$X$96,15)</f>
        <v>4</v>
      </c>
      <c r="J85" s="35">
        <f>VLOOKUP($A85,'NG-Sept-Bill'!$A$15:$X$96,15)</f>
        <v>4</v>
      </c>
      <c r="K85" s="35">
        <f>VLOOKUP($A85,'NG-Oct-Bill'!$A$15:$X$96,15)</f>
        <v>4</v>
      </c>
      <c r="L85" s="35">
        <f>VLOOKUP($A85,'NG-Nov-Bill'!$A$15:$X$96,15)</f>
        <v>4</v>
      </c>
      <c r="M85" s="35">
        <f>VLOOKUP($A85,'NG-Dec-Bill'!$A$15:$X$96,15)</f>
        <v>4</v>
      </c>
      <c r="O85" s="35">
        <f t="shared" si="1"/>
        <v>50</v>
      </c>
    </row>
    <row r="86" spans="1:15">
      <c r="A86" s="40">
        <v>7312015014</v>
      </c>
      <c r="B86" s="35">
        <f>VLOOKUP($A86,'NG-Jan-Bill'!$A$15:$X$96,15)</f>
        <v>82</v>
      </c>
      <c r="C86" s="35">
        <f>VLOOKUP($A86,'NG-Feb-Bill'!$A$15:$X$96,15)</f>
        <v>79</v>
      </c>
      <c r="D86" s="35">
        <f>VLOOKUP($A86,'NG_Mar-Bill'!$A$15:$X$96,15)</f>
        <v>79</v>
      </c>
      <c r="E86" s="35">
        <f>VLOOKUP($A86,'NG-Apr-Bill'!$A$15:$X$96,15)</f>
        <v>84</v>
      </c>
      <c r="F86" s="35">
        <f>VLOOKUP($A86,'NG-May-Bill'!$A$15:$X$96,15)</f>
        <v>84</v>
      </c>
      <c r="G86" s="35">
        <f>VLOOKUP($A86,'NG-Jun-Bill'!$A$15:$X$96,15)</f>
        <v>93</v>
      </c>
      <c r="H86" s="35">
        <f>VLOOKUP($A86,'NG-Jul-Bill'!$A$15:$X$96,15)</f>
        <v>83</v>
      </c>
      <c r="I86" s="35">
        <f>VLOOKUP($A86,'NG-Aug-Bill'!$A$15:$X$96,15)</f>
        <v>92</v>
      </c>
      <c r="J86" s="35">
        <f>VLOOKUP($A86,'NG-Sept-Bill'!$A$15:$X$96,15)</f>
        <v>84</v>
      </c>
      <c r="K86" s="35">
        <f>VLOOKUP($A86,'NG-Oct-Bill'!$A$15:$X$96,15)</f>
        <v>73</v>
      </c>
      <c r="L86" s="35">
        <f>VLOOKUP($A86,'NG-Nov-Bill'!$A$15:$X$96,15)</f>
        <v>81</v>
      </c>
      <c r="M86" s="35">
        <f>VLOOKUP($A86,'NG-Dec-Bill'!$A$15:$X$96,15)</f>
        <v>85</v>
      </c>
      <c r="O86" s="35">
        <f t="shared" si="1"/>
        <v>999</v>
      </c>
    </row>
    <row r="87" spans="1:15">
      <c r="A87" s="40">
        <v>8193819106</v>
      </c>
      <c r="B87" s="35">
        <f>VLOOKUP($A87,'NG-Jan-Bill'!$A$15:$X$96,15)</f>
        <v>0</v>
      </c>
      <c r="C87" s="35">
        <f>VLOOKUP($A87,'NG-Feb-Bill'!$A$15:$X$96,15)</f>
        <v>0</v>
      </c>
      <c r="D87" s="35">
        <f>VLOOKUP($A87,'NG_Mar-Bill'!$A$15:$X$96,15)</f>
        <v>0</v>
      </c>
      <c r="E87" s="35">
        <f>VLOOKUP($A87,'NG-Apr-Bill'!$A$15:$X$96,15)</f>
        <v>0</v>
      </c>
      <c r="F87" s="35">
        <f>VLOOKUP($A87,'NG-May-Bill'!$A$15:$X$96,15)</f>
        <v>0</v>
      </c>
      <c r="G87" s="35">
        <f>VLOOKUP($A87,'NG-Jun-Bill'!$A$15:$X$96,15)</f>
        <v>0</v>
      </c>
      <c r="H87" s="35">
        <f>VLOOKUP($A87,'NG-Jul-Bill'!$A$15:$X$96,15)</f>
        <v>0</v>
      </c>
      <c r="I87" s="35">
        <f>VLOOKUP($A87,'NG-Aug-Bill'!$A$15:$X$96,15)</f>
        <v>0</v>
      </c>
      <c r="J87" s="35">
        <f>VLOOKUP($A87,'NG-Sept-Bill'!$A$15:$X$96,15)</f>
        <v>0</v>
      </c>
      <c r="K87" s="35">
        <f>VLOOKUP($A87,'NG-Oct-Bill'!$A$15:$X$96,15)</f>
        <v>0</v>
      </c>
      <c r="L87" s="35">
        <f>VLOOKUP($A87,'NG-Nov-Bill'!$A$15:$X$96,15)</f>
        <v>0</v>
      </c>
      <c r="M87" s="35">
        <f>VLOOKUP($A87,'NG-Dec-Bill'!$A$15:$X$96,15)</f>
        <v>0</v>
      </c>
      <c r="O87" s="35">
        <f t="shared" si="1"/>
        <v>0</v>
      </c>
    </row>
    <row r="88" spans="1:15">
      <c r="A88" s="40">
        <v>8714009102</v>
      </c>
      <c r="B88" s="35">
        <f>VLOOKUP($A88,'NG-Jan-Bill'!$A$15:$X$96,15)</f>
        <v>749</v>
      </c>
      <c r="C88" s="35">
        <f>VLOOKUP($A88,'NG-Feb-Bill'!$A$15:$X$96,15)</f>
        <v>803</v>
      </c>
      <c r="D88" s="35">
        <f>VLOOKUP($A88,'NG_Mar-Bill'!$A$15:$X$96,15)</f>
        <v>782</v>
      </c>
      <c r="E88" s="35">
        <f>VLOOKUP($A88,'NG-Apr-Bill'!$A$15:$X$96,15)</f>
        <v>805</v>
      </c>
      <c r="F88" s="35">
        <f>VLOOKUP($A88,'NG-May-Bill'!$A$15:$X$96,15)</f>
        <v>745</v>
      </c>
      <c r="G88" s="35">
        <f>VLOOKUP($A88,'NG-Jun-Bill'!$A$15:$X$96,15)</f>
        <v>680</v>
      </c>
      <c r="H88" s="35">
        <f>VLOOKUP($A88,'NG-Jul-Bill'!$A$15:$X$96,15)</f>
        <v>680</v>
      </c>
      <c r="I88" s="35">
        <f>VLOOKUP($A88,'NG-Aug-Bill'!$A$15:$X$96,15)</f>
        <v>570</v>
      </c>
      <c r="J88" s="35">
        <f>VLOOKUP($A88,'NG-Sept-Bill'!$A$15:$X$96,15)</f>
        <v>550</v>
      </c>
      <c r="K88" s="35">
        <f>VLOOKUP($A88,'NG-Oct-Bill'!$A$15:$X$96,15)</f>
        <v>627</v>
      </c>
      <c r="L88" s="35">
        <f>VLOOKUP($A88,'NG-Nov-Bill'!$A$15:$X$96,15)</f>
        <v>597</v>
      </c>
      <c r="M88" s="35">
        <f>VLOOKUP($A88,'NG-Dec-Bill'!$A$15:$X$96,15)</f>
        <v>609</v>
      </c>
      <c r="O88" s="35">
        <f t="shared" si="1"/>
        <v>8197</v>
      </c>
    </row>
    <row r="89" spans="1:15">
      <c r="A89" s="40">
        <v>8993882105</v>
      </c>
      <c r="B89" s="35">
        <f>VLOOKUP($A89,'NG-Jan-Bill'!$A$15:$X$96,15)</f>
        <v>116</v>
      </c>
      <c r="C89" s="35">
        <f>VLOOKUP($A89,'NG-Feb-Bill'!$A$15:$X$96,15)</f>
        <v>92</v>
      </c>
      <c r="D89" s="35">
        <f>VLOOKUP($A89,'NG_Mar-Bill'!$A$15:$X$96,15)</f>
        <v>80</v>
      </c>
      <c r="E89" s="35">
        <f>VLOOKUP($A89,'NG-Apr-Bill'!$A$15:$X$96,15)</f>
        <v>76</v>
      </c>
      <c r="F89" s="35">
        <f>VLOOKUP($A89,'NG-May-Bill'!$A$15:$X$96,15)</f>
        <v>72</v>
      </c>
      <c r="G89" s="35">
        <f>VLOOKUP($A89,'NG-Jun-Bill'!$A$15:$X$96,15)</f>
        <v>58</v>
      </c>
      <c r="H89" s="35">
        <f>VLOOKUP($A89,'NG-Jul-Bill'!$A$15:$X$96,15)</f>
        <v>64</v>
      </c>
      <c r="I89" s="35">
        <f>VLOOKUP($A89,'NG-Aug-Bill'!$A$15:$X$96,15)</f>
        <v>69</v>
      </c>
      <c r="J89" s="35">
        <f>VLOOKUP($A89,'NG-Sept-Bill'!$A$15:$X$96,15)</f>
        <v>73</v>
      </c>
      <c r="K89" s="35">
        <f>VLOOKUP($A89,'NG-Oct-Bill'!$A$15:$X$96,15)</f>
        <v>89</v>
      </c>
      <c r="L89" s="35">
        <f>VLOOKUP($A89,'NG-Nov-Bill'!$A$15:$X$96,15)</f>
        <v>93</v>
      </c>
      <c r="M89" s="35">
        <f>VLOOKUP($A89,'NG-Dec-Bill'!$A$15:$X$96,15)</f>
        <v>103</v>
      </c>
      <c r="O89" s="35">
        <f t="shared" si="1"/>
        <v>985</v>
      </c>
    </row>
    <row r="90" spans="1:15">
      <c r="A90" s="40">
        <v>9308810101</v>
      </c>
      <c r="B90" s="35">
        <f>VLOOKUP($A90,'NG-Jan-Bill'!$A$15:$X$96,15)</f>
        <v>0</v>
      </c>
      <c r="C90" s="35">
        <f>VLOOKUP($A90,'NG-Feb-Bill'!$A$15:$X$96,15)</f>
        <v>0</v>
      </c>
      <c r="D90" s="35">
        <f>VLOOKUP($A90,'NG_Mar-Bill'!$A$15:$X$96,15)</f>
        <v>0</v>
      </c>
      <c r="E90" s="35">
        <f>VLOOKUP($A90,'NG-Apr-Bill'!$A$15:$X$96,15)</f>
        <v>0</v>
      </c>
      <c r="F90" s="35">
        <f>VLOOKUP($A90,'NG-May-Bill'!$A$15:$X$96,15)</f>
        <v>0</v>
      </c>
      <c r="G90" s="35">
        <f>VLOOKUP($A90,'NG-Jun-Bill'!$A$15:$X$96,15)</f>
        <v>0</v>
      </c>
      <c r="H90" s="35">
        <f>VLOOKUP($A90,'NG-Jul-Bill'!$A$15:$X$96,15)</f>
        <v>0</v>
      </c>
      <c r="I90" s="35">
        <f>VLOOKUP($A90,'NG-Aug-Bill'!$A$15:$X$96,15)</f>
        <v>0</v>
      </c>
      <c r="J90" s="35">
        <f>VLOOKUP($A90,'NG-Sept-Bill'!$A$15:$X$96,15)</f>
        <v>0</v>
      </c>
      <c r="K90" s="35">
        <f>VLOOKUP($A90,'NG-Oct-Bill'!$A$15:$X$96,15)</f>
        <v>0</v>
      </c>
      <c r="L90" s="35">
        <f>VLOOKUP($A90,'NG-Nov-Bill'!$A$15:$X$96,15)</f>
        <v>0</v>
      </c>
      <c r="M90" s="35">
        <f>VLOOKUP($A90,'NG-Dec-Bill'!$A$15:$X$96,15)</f>
        <v>0</v>
      </c>
      <c r="O90" s="35">
        <f t="shared" si="1"/>
        <v>0</v>
      </c>
    </row>
    <row r="91" spans="1:15">
      <c r="A91" s="40">
        <v>9428808118</v>
      </c>
      <c r="B91" s="35">
        <f>VLOOKUP($A91,'NG-Jan-Bill'!$A$15:$X$96,15)</f>
        <v>63</v>
      </c>
      <c r="C91" s="35">
        <f>VLOOKUP($A91,'NG-Feb-Bill'!$A$15:$X$96,15)</f>
        <v>63</v>
      </c>
      <c r="D91" s="35">
        <f>VLOOKUP($A91,'NG_Mar-Bill'!$A$15:$X$96,15)</f>
        <v>61</v>
      </c>
      <c r="E91" s="35">
        <f>VLOOKUP($A91,'NG-Apr-Bill'!$A$15:$X$96,15)</f>
        <v>8</v>
      </c>
      <c r="F91" s="35">
        <f>VLOOKUP($A91,'NG-May-Bill'!$A$15:$X$96,15)</f>
        <v>0</v>
      </c>
      <c r="G91" s="35">
        <f>VLOOKUP($A91,'NG-Jun-Bill'!$A$15:$X$96,15)</f>
        <v>0</v>
      </c>
      <c r="H91" s="35">
        <f>VLOOKUP($A91,'NG-Jul-Bill'!$A$15:$X$96,15)</f>
        <v>0</v>
      </c>
      <c r="I91" s="35">
        <f>VLOOKUP($A91,'NG-Aug-Bill'!$A$15:$X$96,15)</f>
        <v>0</v>
      </c>
      <c r="J91" s="35">
        <f>VLOOKUP($A91,'NG-Sept-Bill'!$A$15:$X$96,15)</f>
        <v>0</v>
      </c>
      <c r="K91" s="35">
        <f>VLOOKUP($A91,'NG-Oct-Bill'!$A$15:$X$96,15)</f>
        <v>0</v>
      </c>
      <c r="L91" s="35">
        <f>VLOOKUP($A91,'NG-Nov-Bill'!$A$15:$X$96,15)</f>
        <v>0</v>
      </c>
      <c r="M91" s="35">
        <f>VLOOKUP($A91,'NG-Dec-Bill'!$A$15:$X$96,15)</f>
        <v>0</v>
      </c>
      <c r="O91" s="35">
        <f t="shared" si="1"/>
        <v>195</v>
      </c>
    </row>
    <row r="92" spans="1:15">
      <c r="A92" s="40">
        <v>9488810107</v>
      </c>
      <c r="B92" s="35">
        <f>VLOOKUP($A92,'NG-Jan-Bill'!$A$15:$X$96,15)</f>
        <v>2240</v>
      </c>
      <c r="C92" s="35">
        <f>VLOOKUP($A92,'NG-Feb-Bill'!$A$15:$X$96,15)</f>
        <v>1920</v>
      </c>
      <c r="D92" s="35">
        <f>VLOOKUP($A92,'NG_Mar-Bill'!$A$15:$X$96,15)</f>
        <v>1760</v>
      </c>
      <c r="E92" s="35">
        <f>VLOOKUP($A92,'NG-Apr-Bill'!$A$15:$X$96,15)</f>
        <v>1600</v>
      </c>
      <c r="F92" s="35">
        <f>VLOOKUP($A92,'NG-May-Bill'!$A$15:$X$96,15)</f>
        <v>4640</v>
      </c>
      <c r="G92" s="35">
        <f>VLOOKUP($A92,'NG-Jun-Bill'!$A$15:$X$96,15)</f>
        <v>7520</v>
      </c>
      <c r="H92" s="35">
        <f>VLOOKUP($A92,'NG-Jul-Bill'!$A$15:$X$96,15)</f>
        <v>9440</v>
      </c>
      <c r="I92" s="35">
        <f>VLOOKUP($A92,'NG-Aug-Bill'!$A$15:$X$96,15)</f>
        <v>0</v>
      </c>
      <c r="J92" s="35">
        <f>VLOOKUP($A92,'NG-Sept-Bill'!$A$15:$X$96,15)</f>
        <v>2880</v>
      </c>
      <c r="K92" s="35">
        <f>VLOOKUP($A92,'NG-Oct-Bill'!$A$15:$X$96,15)</f>
        <v>2880</v>
      </c>
      <c r="L92" s="35">
        <f>VLOOKUP($A92,'NG-Nov-Bill'!$A$15:$X$96,15)</f>
        <v>3200</v>
      </c>
      <c r="M92" s="35">
        <f>VLOOKUP($A92,'NG-Dec-Bill'!$A$15:$X$96,15)</f>
        <v>1600</v>
      </c>
      <c r="O92" s="35">
        <f t="shared" si="1"/>
        <v>39680</v>
      </c>
    </row>
    <row r="93" spans="1:15">
      <c r="A93" s="40">
        <v>9529017113</v>
      </c>
      <c r="B93" s="35">
        <f>VLOOKUP($A93,'NG-Jan-Bill'!$A$15:$X$96,15)</f>
        <v>0</v>
      </c>
      <c r="C93" s="35">
        <f>VLOOKUP($A93,'NG-Feb-Bill'!$A$15:$X$96,15)</f>
        <v>0</v>
      </c>
      <c r="D93" s="35">
        <f>VLOOKUP($A93,'NG_Mar-Bill'!$A$15:$X$96,15)</f>
        <v>0</v>
      </c>
      <c r="E93" s="35">
        <f>VLOOKUP($A93,'NG-Apr-Bill'!$A$15:$X$96,15)</f>
        <v>0</v>
      </c>
      <c r="F93" s="35">
        <f>VLOOKUP($A93,'NG-May-Bill'!$A$15:$X$96,15)</f>
        <v>11</v>
      </c>
      <c r="G93" s="35">
        <f>VLOOKUP($A93,'NG-Jun-Bill'!$A$15:$X$96,15)</f>
        <v>1303</v>
      </c>
      <c r="H93" s="35">
        <f>VLOOKUP($A93,'NG-Jul-Bill'!$A$15:$X$96,15)</f>
        <v>1109</v>
      </c>
      <c r="I93" s="35">
        <f>VLOOKUP($A93,'NG-Aug-Bill'!$A$15:$X$96,15)</f>
        <v>1161</v>
      </c>
      <c r="J93" s="35">
        <f>VLOOKUP($A93,'NG-Sept-Bill'!$A$15:$X$96,15)</f>
        <v>1141</v>
      </c>
      <c r="K93" s="35">
        <f>VLOOKUP($A93,'NG-Oct-Bill'!$A$15:$X$96,15)</f>
        <v>1015</v>
      </c>
      <c r="L93" s="35">
        <f>VLOOKUP($A93,'NG-Nov-Bill'!$A$15:$X$96,15)</f>
        <v>766</v>
      </c>
      <c r="M93" s="35">
        <f>VLOOKUP($A93,'NG-Dec-Bill'!$A$15:$X$96,15)</f>
        <v>0</v>
      </c>
      <c r="O93" s="35">
        <f t="shared" si="1"/>
        <v>6506</v>
      </c>
    </row>
    <row r="94" spans="1:15">
      <c r="A94" s="40">
        <v>9753819107</v>
      </c>
      <c r="B94" s="35">
        <f>VLOOKUP($A94,'NG-Jan-Bill'!$A$15:$X$96,15)</f>
        <v>15040</v>
      </c>
      <c r="C94" s="35">
        <f>VLOOKUP($A94,'NG-Feb-Bill'!$A$15:$X$96,15)</f>
        <v>11760</v>
      </c>
      <c r="D94" s="35">
        <f>VLOOKUP($A94,'NG_Mar-Bill'!$A$15:$X$96,15)</f>
        <v>13680</v>
      </c>
      <c r="E94" s="35">
        <f>VLOOKUP($A94,'NG-Apr-Bill'!$A$15:$X$96,15)</f>
        <v>11840</v>
      </c>
      <c r="F94" s="35">
        <f>VLOOKUP($A94,'NG-May-Bill'!$A$15:$X$96,15)</f>
        <v>14320</v>
      </c>
      <c r="G94" s="35">
        <f>VLOOKUP($A94,'NG-Jun-Bill'!$A$15:$X$96,15)</f>
        <v>14960</v>
      </c>
      <c r="H94" s="35">
        <f>VLOOKUP($A94,'NG-Jul-Bill'!$A$15:$X$96,15)</f>
        <v>19520</v>
      </c>
      <c r="I94" s="35">
        <f>VLOOKUP($A94,'NG-Aug-Bill'!$A$15:$X$96,15)</f>
        <v>19680</v>
      </c>
      <c r="J94" s="35">
        <f>VLOOKUP($A94,'NG-Sept-Bill'!$A$15:$X$96,15)</f>
        <v>16640</v>
      </c>
      <c r="K94" s="35">
        <f>VLOOKUP($A94,'NG-Oct-Bill'!$A$15:$X$96,15)</f>
        <v>16640</v>
      </c>
      <c r="L94" s="35">
        <f>VLOOKUP($A94,'NG-Nov-Bill'!$A$15:$X$96,15)</f>
        <v>13120</v>
      </c>
      <c r="M94" s="35">
        <f>VLOOKUP($A94,'NG-Dec-Bill'!$A$15:$X$96,15)</f>
        <v>13760</v>
      </c>
      <c r="O94" s="35">
        <f t="shared" si="1"/>
        <v>180960</v>
      </c>
    </row>
    <row r="95" spans="1:15">
      <c r="A95" s="40">
        <v>9753820119</v>
      </c>
      <c r="B95" s="35">
        <f>VLOOKUP($A95,'NG-Jan-Bill'!$A$15:$X$96,15)</f>
        <v>45</v>
      </c>
      <c r="C95" s="35">
        <f>VLOOKUP($A95,'NG-Feb-Bill'!$A$15:$X$96,15)</f>
        <v>37</v>
      </c>
      <c r="D95" s="35">
        <f>VLOOKUP($A95,'NG_Mar-Bill'!$A$15:$X$96,15)</f>
        <v>38</v>
      </c>
      <c r="E95" s="35">
        <f>VLOOKUP($A95,'NG-Apr-Bill'!$A$15:$X$96,15)</f>
        <v>31</v>
      </c>
      <c r="F95" s="35">
        <f>VLOOKUP($A95,'NG-May-Bill'!$A$15:$X$96,15)</f>
        <v>41</v>
      </c>
      <c r="G95" s="35">
        <f>VLOOKUP($A95,'NG-Jun-Bill'!$A$15:$X$96,15)</f>
        <v>43</v>
      </c>
      <c r="H95" s="35">
        <f>VLOOKUP($A95,'NG-Jul-Bill'!$A$15:$X$96,15)</f>
        <v>41</v>
      </c>
      <c r="I95" s="35">
        <f>VLOOKUP($A95,'NG-Aug-Bill'!$A$15:$X$96,15)</f>
        <v>46</v>
      </c>
      <c r="J95" s="35">
        <f>VLOOKUP($A95,'NG-Sept-Bill'!$A$15:$X$96,15)</f>
        <v>38</v>
      </c>
      <c r="K95" s="35">
        <f>VLOOKUP($A95,'NG-Oct-Bill'!$A$15:$X$96,15)</f>
        <v>38</v>
      </c>
      <c r="L95" s="35">
        <f>VLOOKUP($A95,'NG-Nov-Bill'!$A$15:$X$96,15)</f>
        <v>39</v>
      </c>
      <c r="M95" s="35">
        <f>VLOOKUP($A95,'NG-Dec-Bill'!$A$15:$X$96,15)</f>
        <v>43</v>
      </c>
      <c r="O95" s="35">
        <f t="shared" si="1"/>
        <v>480</v>
      </c>
    </row>
    <row r="96" spans="1:15">
      <c r="A96" s="40">
        <v>9953820104</v>
      </c>
      <c r="B96" s="35">
        <f>VLOOKUP($A96,'NG-Jan-Bill'!$A$15:$X$96,15)</f>
        <v>120</v>
      </c>
      <c r="C96" s="35">
        <f>VLOOKUP($A96,'NG-Feb-Bill'!$A$15:$X$96,15)</f>
        <v>94</v>
      </c>
      <c r="D96" s="35">
        <f>VLOOKUP($A96,'NG_Mar-Bill'!$A$15:$X$96,15)</f>
        <v>96</v>
      </c>
      <c r="E96" s="35">
        <f>VLOOKUP($A96,'NG-Apr-Bill'!$A$15:$X$96,15)</f>
        <v>128</v>
      </c>
      <c r="F96" s="35">
        <f>VLOOKUP($A96,'NG-May-Bill'!$A$15:$X$96,15)</f>
        <v>204</v>
      </c>
      <c r="G96" s="35">
        <f>VLOOKUP($A96,'NG-Jun-Bill'!$A$15:$X$96,15)</f>
        <v>244</v>
      </c>
      <c r="H96" s="35">
        <f>VLOOKUP($A96,'NG-Jul-Bill'!$A$15:$X$96,15)</f>
        <v>278</v>
      </c>
      <c r="I96" s="35">
        <f>VLOOKUP($A96,'NG-Aug-Bill'!$A$15:$X$96,15)</f>
        <v>287</v>
      </c>
      <c r="J96" s="35">
        <f>VLOOKUP($A96,'NG-Sept-Bill'!$A$15:$X$96,15)</f>
        <v>196</v>
      </c>
      <c r="K96" s="35">
        <f>VLOOKUP($A96,'NG-Oct-Bill'!$A$15:$X$96,15)</f>
        <v>187</v>
      </c>
      <c r="L96" s="35">
        <f>VLOOKUP($A96,'NG-Nov-Bill'!$A$15:$X$96,15)</f>
        <v>125</v>
      </c>
      <c r="M96" s="35">
        <f>VLOOKUP($A96,'NG-Dec-Bill'!$A$15:$X$96,15)</f>
        <v>119</v>
      </c>
      <c r="O96" s="35">
        <f t="shared" si="1"/>
        <v>2078</v>
      </c>
    </row>
  </sheetData>
  <phoneticPr fontId="7" type="noConversion"/>
  <pageMargins left="0.75" right="0.75" top="1" bottom="1" header="0.5" footer="0.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O99"/>
  <sheetViews>
    <sheetView topLeftCell="A14" workbookViewId="0">
      <selection activeCell="A25" sqref="A25"/>
    </sheetView>
  </sheetViews>
  <sheetFormatPr baseColWidth="10" defaultColWidth="15.83203125" defaultRowHeight="14" x14ac:dyDescent="0"/>
  <cols>
    <col min="1" max="1" width="15.83203125" style="43"/>
    <col min="2" max="13" width="12.1640625" style="43" customWidth="1"/>
    <col min="14" max="14" width="4.6640625" style="43" customWidth="1"/>
    <col min="15" max="15" width="15.83203125" style="43"/>
    <col min="16" max="16384" width="15.83203125" style="35"/>
  </cols>
  <sheetData>
    <row r="13" spans="1:15">
      <c r="A13" s="41" t="s">
        <v>360</v>
      </c>
      <c r="B13" s="42"/>
      <c r="C13" s="42"/>
    </row>
    <row r="14" spans="1:15">
      <c r="A14" s="350" t="s">
        <v>370</v>
      </c>
      <c r="B14" s="37" t="s">
        <v>470</v>
      </c>
      <c r="C14" s="37" t="s">
        <v>471</v>
      </c>
      <c r="D14" s="37" t="s">
        <v>472</v>
      </c>
      <c r="E14" s="37" t="s">
        <v>462</v>
      </c>
      <c r="F14" s="37" t="s">
        <v>463</v>
      </c>
      <c r="G14" s="37" t="s">
        <v>464</v>
      </c>
      <c r="H14" s="37" t="s">
        <v>465</v>
      </c>
      <c r="I14" s="37" t="s">
        <v>466</v>
      </c>
      <c r="J14" s="37" t="s">
        <v>358</v>
      </c>
      <c r="K14" s="37" t="s">
        <v>467</v>
      </c>
      <c r="L14" s="37" t="s">
        <v>468</v>
      </c>
      <c r="M14" s="37" t="s">
        <v>469</v>
      </c>
      <c r="O14" s="37" t="s">
        <v>361</v>
      </c>
    </row>
    <row r="15" spans="1:15">
      <c r="A15" s="44">
        <v>143027007</v>
      </c>
      <c r="B15" s="45">
        <f>VLOOKUP($A15,'NG-Jan-Bill'!$A$15:$X$96,18)</f>
        <v>25.95</v>
      </c>
      <c r="C15" s="45">
        <f>VLOOKUP($A15,'NG-Feb-Bill'!$A$15:$X$96,18)</f>
        <v>25.27</v>
      </c>
      <c r="D15" s="45">
        <f>VLOOKUP($A15,'NG_Mar-Bill'!$A$15:$X$96,18)</f>
        <v>24.79</v>
      </c>
      <c r="E15" s="45">
        <f>VLOOKUP($A15,'NG-Apr-Bill'!$A$15:$X$96,18)</f>
        <v>24.14</v>
      </c>
      <c r="F15" s="45">
        <f>VLOOKUP($A15,'NG-May-Bill'!$A$15:$X$96,18)</f>
        <v>23.25</v>
      </c>
      <c r="G15" s="45">
        <f>VLOOKUP($A15,'NG-Jun-Bill'!$A$15:$X$96,18)</f>
        <v>23.15</v>
      </c>
      <c r="H15" s="45">
        <f>VLOOKUP($A15,'NG-Jul-Bill'!$A$15:$X$96,18)</f>
        <v>22.68</v>
      </c>
      <c r="I15" s="45">
        <f>VLOOKUP($A15,'NG-Aug-Bill'!$A$15:$X$96,18)</f>
        <v>23.21</v>
      </c>
      <c r="J15" s="45">
        <f>VLOOKUP($A15,'NG-Sept-Bill'!$A$15:$X$96,18)</f>
        <v>23.11</v>
      </c>
      <c r="K15" s="45">
        <f>VLOOKUP($A15,'NG-Oct-Bill'!$A$15:$X$96,18)</f>
        <v>23.65</v>
      </c>
      <c r="L15" s="45">
        <f>VLOOKUP($A15,'NG-Nov-Bill'!$A$15:$X$96,18)</f>
        <v>23.68</v>
      </c>
      <c r="M15" s="45">
        <f>VLOOKUP($A15,'NG-Dec-Bill'!$A$15:$X$96,18)</f>
        <v>24.61</v>
      </c>
      <c r="O15" s="45">
        <f>SUM(B15:N15)</f>
        <v>287.49</v>
      </c>
    </row>
    <row r="16" spans="1:15">
      <c r="A16" s="44">
        <v>173880101</v>
      </c>
      <c r="B16" s="45">
        <f>VLOOKUP($A16,'NG-Jan-Bill'!$A$15:$X$96,18)</f>
        <v>13.9</v>
      </c>
      <c r="C16" s="45">
        <f>VLOOKUP($A16,'NG-Feb-Bill'!$A$15:$X$96,18)</f>
        <v>12.14</v>
      </c>
      <c r="D16" s="45">
        <f>VLOOKUP($A16,'NG_Mar-Bill'!$A$15:$X$96,18)</f>
        <v>11.1</v>
      </c>
      <c r="E16" s="45">
        <f>VLOOKUP($A16,'NG-Apr-Bill'!$A$15:$X$96,18)</f>
        <v>10.29</v>
      </c>
      <c r="F16" s="45">
        <f>VLOOKUP($A16,'NG-May-Bill'!$A$15:$X$96,18)</f>
        <v>10.11</v>
      </c>
      <c r="G16" s="45">
        <f>VLOOKUP($A16,'NG-Jun-Bill'!$A$15:$X$96,18)</f>
        <v>8.8800000000000008</v>
      </c>
      <c r="H16" s="45">
        <f>VLOOKUP($A16,'NG-Jul-Bill'!$A$15:$X$96,18)</f>
        <v>9.34</v>
      </c>
      <c r="I16" s="45">
        <f>VLOOKUP($A16,'NG-Aug-Bill'!$A$15:$X$96,18)</f>
        <v>9.76</v>
      </c>
      <c r="J16" s="45">
        <f>VLOOKUP($A16,'NG-Sept-Bill'!$A$15:$X$96,18)</f>
        <v>10.19</v>
      </c>
      <c r="K16" s="45">
        <f>VLOOKUP($A16,'NG-Oct-Bill'!$A$15:$X$96,18)</f>
        <v>11.38</v>
      </c>
      <c r="L16" s="45">
        <f>VLOOKUP($A16,'NG-Nov-Bill'!$A$15:$X$96,18)</f>
        <v>11.41</v>
      </c>
      <c r="M16" s="45">
        <f>VLOOKUP($A16,'NG-Dec-Bill'!$A$15:$X$96,18)</f>
        <v>12.33</v>
      </c>
      <c r="O16" s="45">
        <f t="shared" ref="O16:O79" si="0">SUM(B16:N16)</f>
        <v>130.83000000000001</v>
      </c>
    </row>
    <row r="17" spans="1:15">
      <c r="A17" s="44">
        <v>208811116</v>
      </c>
      <c r="B17" s="45">
        <f>VLOOKUP($A17,'NG-Jan-Bill'!$A$15:$X$96,18)</f>
        <v>152.61000000000001</v>
      </c>
      <c r="C17" s="45">
        <f>VLOOKUP($A17,'NG-Feb-Bill'!$A$15:$X$96,18)</f>
        <v>147.11000000000001</v>
      </c>
      <c r="D17" s="45">
        <f>VLOOKUP($A17,'NG_Mar-Bill'!$A$15:$X$96,18)</f>
        <v>161.58000000000001</v>
      </c>
      <c r="E17" s="45">
        <f>VLOOKUP($A17,'NG-Apr-Bill'!$A$15:$X$96,18)</f>
        <v>198.64</v>
      </c>
      <c r="F17" s="45">
        <f>VLOOKUP($A17,'NG-May-Bill'!$A$15:$X$96,18)</f>
        <v>150.13</v>
      </c>
      <c r="G17" s="45">
        <f>VLOOKUP($A17,'NG-Jun-Bill'!$A$15:$X$96,18)</f>
        <v>161.26</v>
      </c>
      <c r="H17" s="45">
        <f>VLOOKUP($A17,'NG-Jul-Bill'!$A$15:$X$96,18)</f>
        <v>176.64</v>
      </c>
      <c r="I17" s="45">
        <f>VLOOKUP($A17,'NG-Aug-Bill'!$A$15:$X$96,18)</f>
        <v>132.87</v>
      </c>
      <c r="J17" s="45">
        <f>VLOOKUP($A17,'NG-Sept-Bill'!$A$15:$X$96,18)</f>
        <v>161.09</v>
      </c>
      <c r="K17" s="45">
        <f>VLOOKUP($A17,'NG-Oct-Bill'!$A$15:$X$96,18)</f>
        <v>164.27</v>
      </c>
      <c r="L17" s="45">
        <f>VLOOKUP($A17,'NG-Nov-Bill'!$A$15:$X$96,18)</f>
        <v>145.44</v>
      </c>
      <c r="M17" s="45">
        <f>VLOOKUP($A17,'NG-Dec-Bill'!$A$15:$X$96,18)</f>
        <v>146.68</v>
      </c>
      <c r="O17" s="45">
        <f t="shared" si="0"/>
        <v>1898.3200000000002</v>
      </c>
    </row>
    <row r="18" spans="1:15">
      <c r="A18" s="44">
        <v>248811109</v>
      </c>
      <c r="B18" s="45">
        <f>VLOOKUP($A18,'NG-Jan-Bill'!$A$15:$X$96,18)</f>
        <v>0</v>
      </c>
      <c r="C18" s="45">
        <f>VLOOKUP($A18,'NG-Feb-Bill'!$A$15:$X$96,18)</f>
        <v>0</v>
      </c>
      <c r="D18" s="45">
        <f>VLOOKUP($A18,'NG_Mar-Bill'!$A$15:$X$96,18)</f>
        <v>0</v>
      </c>
      <c r="E18" s="45">
        <f>VLOOKUP($A18,'NG-Apr-Bill'!$A$15:$X$96,18)</f>
        <v>0</v>
      </c>
      <c r="F18" s="45">
        <f>VLOOKUP($A18,'NG-May-Bill'!$A$15:$X$96,18)</f>
        <v>0</v>
      </c>
      <c r="G18" s="45">
        <f>VLOOKUP($A18,'NG-Jun-Bill'!$A$15:$X$96,18)</f>
        <v>0</v>
      </c>
      <c r="H18" s="45">
        <f>VLOOKUP($A18,'NG-Jul-Bill'!$A$15:$X$96,18)</f>
        <v>0</v>
      </c>
      <c r="I18" s="45">
        <f>VLOOKUP($A18,'NG-Aug-Bill'!$A$15:$X$96,18)</f>
        <v>0</v>
      </c>
      <c r="J18" s="45">
        <f>VLOOKUP($A18,'NG-Sept-Bill'!$A$15:$X$96,18)</f>
        <v>0</v>
      </c>
      <c r="K18" s="45">
        <f>VLOOKUP($A18,'NG-Oct-Bill'!$A$15:$X$96,18)</f>
        <v>0</v>
      </c>
      <c r="L18" s="45">
        <f>VLOOKUP($A18,'NG-Nov-Bill'!$A$15:$X$96,18)</f>
        <v>0</v>
      </c>
      <c r="M18" s="45">
        <f>VLOOKUP($A18,'NG-Dec-Bill'!$A$15:$X$96,18)</f>
        <v>0</v>
      </c>
      <c r="O18" s="45">
        <f t="shared" si="0"/>
        <v>0</v>
      </c>
    </row>
    <row r="19" spans="1:15">
      <c r="A19" s="44">
        <v>288811101</v>
      </c>
      <c r="B19" s="45">
        <f>VLOOKUP($A19,'NG-Jan-Bill'!$A$15:$X$96,18)</f>
        <v>433.54</v>
      </c>
      <c r="C19" s="45">
        <f>VLOOKUP($A19,'NG-Feb-Bill'!$A$15:$X$96,18)</f>
        <v>436.2</v>
      </c>
      <c r="D19" s="45">
        <f>VLOOKUP($A19,'NG_Mar-Bill'!$A$15:$X$96,18)</f>
        <v>406.22</v>
      </c>
      <c r="E19" s="45">
        <f>VLOOKUP($A19,'NG-Apr-Bill'!$A$15:$X$96,18)</f>
        <v>411.93</v>
      </c>
      <c r="F19" s="45">
        <f>VLOOKUP($A19,'NG-May-Bill'!$A$15:$X$96,18)</f>
        <v>496.18</v>
      </c>
      <c r="G19" s="45">
        <f>VLOOKUP($A19,'NG-Jun-Bill'!$A$15:$X$96,18)</f>
        <v>623.39</v>
      </c>
      <c r="H19" s="45">
        <f>VLOOKUP($A19,'NG-Jul-Bill'!$A$15:$X$96,18)</f>
        <v>830.83</v>
      </c>
      <c r="I19" s="45">
        <f>VLOOKUP($A19,'NG-Aug-Bill'!$A$15:$X$96,18)</f>
        <v>626.79999999999995</v>
      </c>
      <c r="J19" s="45">
        <f>VLOOKUP($A19,'NG-Sept-Bill'!$A$15:$X$96,18)</f>
        <v>517.34</v>
      </c>
      <c r="K19" s="45">
        <f>VLOOKUP($A19,'NG-Oct-Bill'!$A$15:$X$96,18)</f>
        <v>516.9</v>
      </c>
      <c r="L19" s="45">
        <f>VLOOKUP($A19,'NG-Nov-Bill'!$A$15:$X$96,18)</f>
        <v>474.18</v>
      </c>
      <c r="M19" s="45">
        <f>VLOOKUP($A19,'NG-Dec-Bill'!$A$15:$X$96,18)</f>
        <v>374.66</v>
      </c>
      <c r="O19" s="45">
        <f t="shared" si="0"/>
        <v>6148.17</v>
      </c>
    </row>
    <row r="20" spans="1:15">
      <c r="A20" s="44">
        <v>293879106</v>
      </c>
      <c r="B20" s="45">
        <f>VLOOKUP($A20,'NG-Jan-Bill'!$A$15:$X$96,18)</f>
        <v>299.62</v>
      </c>
      <c r="C20" s="45">
        <f>VLOOKUP($A20,'NG-Feb-Bill'!$A$15:$X$96,18)</f>
        <v>277.19</v>
      </c>
      <c r="D20" s="45">
        <f>VLOOKUP($A20,'NG_Mar-Bill'!$A$15:$X$96,18)</f>
        <v>264.27</v>
      </c>
      <c r="E20" s="45">
        <f>VLOOKUP($A20,'NG-Apr-Bill'!$A$15:$X$96,18)</f>
        <v>255.61</v>
      </c>
      <c r="F20" s="45">
        <f>VLOOKUP($A20,'NG-May-Bill'!$A$15:$X$96,18)</f>
        <v>249.81</v>
      </c>
      <c r="G20" s="45">
        <f>VLOOKUP($A20,'NG-Jun-Bill'!$A$15:$X$96,18)</f>
        <v>234.71</v>
      </c>
      <c r="H20" s="45">
        <f>VLOOKUP($A20,'NG-Jul-Bill'!$A$15:$X$96,18)</f>
        <v>239.62</v>
      </c>
      <c r="I20" s="45">
        <f>VLOOKUP($A20,'NG-Aug-Bill'!$A$15:$X$96,18)</f>
        <v>245.42</v>
      </c>
      <c r="J20" s="45">
        <f>VLOOKUP($A20,'NG-Sept-Bill'!$A$15:$X$96,18)</f>
        <v>249.85</v>
      </c>
      <c r="K20" s="45">
        <f>VLOOKUP($A20,'NG-Oct-Bill'!$A$15:$X$96,18)</f>
        <v>265.77999999999997</v>
      </c>
      <c r="L20" s="45">
        <f>VLOOKUP($A20,'NG-Nov-Bill'!$A$15:$X$96,18)</f>
        <v>265.77999999999997</v>
      </c>
      <c r="M20" s="45">
        <f>VLOOKUP($A20,'NG-Dec-Bill'!$A$15:$X$96,18)</f>
        <v>277.42</v>
      </c>
      <c r="O20" s="45">
        <f t="shared" si="0"/>
        <v>3125.08</v>
      </c>
    </row>
    <row r="21" spans="1:15">
      <c r="A21" s="44">
        <v>308809118</v>
      </c>
      <c r="B21" s="45">
        <f>VLOOKUP($A21,'NG-Jan-Bill'!$A$15:$X$96,18)</f>
        <v>73.42</v>
      </c>
      <c r="C21" s="45">
        <f>VLOOKUP($A21,'NG-Feb-Bill'!$A$15:$X$96,18)</f>
        <v>76.3</v>
      </c>
      <c r="D21" s="45">
        <f>VLOOKUP($A21,'NG_Mar-Bill'!$A$15:$X$96,18)</f>
        <v>69.67</v>
      </c>
      <c r="E21" s="45">
        <f>VLOOKUP($A21,'NG-Apr-Bill'!$A$15:$X$96,18)</f>
        <v>58.7</v>
      </c>
      <c r="F21" s="45">
        <f>VLOOKUP($A21,'NG-May-Bill'!$A$15:$X$96,18)</f>
        <v>37.1</v>
      </c>
      <c r="G21" s="45">
        <f>VLOOKUP($A21,'NG-Jun-Bill'!$A$15:$X$96,18)</f>
        <v>31.39</v>
      </c>
      <c r="H21" s="45">
        <f>VLOOKUP($A21,'NG-Jul-Bill'!$A$15:$X$96,18)</f>
        <v>30.08</v>
      </c>
      <c r="I21" s="45">
        <f>VLOOKUP($A21,'NG-Aug-Bill'!$A$15:$X$96,18)</f>
        <v>31.33</v>
      </c>
      <c r="J21" s="45">
        <f>VLOOKUP($A21,'NG-Sept-Bill'!$A$15:$X$96,18)</f>
        <v>28.81</v>
      </c>
      <c r="K21" s="45">
        <f>VLOOKUP($A21,'NG-Oct-Bill'!$A$15:$X$96,18)</f>
        <v>31.46</v>
      </c>
      <c r="L21" s="45">
        <f>VLOOKUP($A21,'NG-Nov-Bill'!$A$15:$X$96,18)</f>
        <v>37.229999999999997</v>
      </c>
      <c r="M21" s="45">
        <f>VLOOKUP($A21,'NG-Dec-Bill'!$A$15:$X$96,18)</f>
        <v>56.41</v>
      </c>
      <c r="O21" s="45">
        <f t="shared" si="0"/>
        <v>561.9</v>
      </c>
    </row>
    <row r="22" spans="1:15">
      <c r="A22" s="44">
        <v>375074007</v>
      </c>
      <c r="B22" s="45">
        <f>VLOOKUP($A22,'NG-Jan-Bill'!$A$15:$X$96,18)</f>
        <v>32.81</v>
      </c>
      <c r="C22" s="45">
        <f>VLOOKUP($A22,'NG-Feb-Bill'!$A$15:$X$96,18)</f>
        <v>0</v>
      </c>
      <c r="D22" s="45">
        <f>VLOOKUP($A22,'NG_Mar-Bill'!$A$15:$X$96,18)</f>
        <v>21.15</v>
      </c>
      <c r="E22" s="45">
        <f>VLOOKUP($A22,'NG-Apr-Bill'!$A$15:$X$96,18)</f>
        <v>20.67</v>
      </c>
      <c r="F22" s="45">
        <f>VLOOKUP($A22,'NG-May-Bill'!$A$15:$X$96,18)</f>
        <v>24.79</v>
      </c>
      <c r="G22" s="45">
        <f>VLOOKUP($A22,'NG-Jun-Bill'!$A$15:$X$96,18)</f>
        <v>33.56</v>
      </c>
      <c r="H22" s="45">
        <f>VLOOKUP($A22,'NG-Jul-Bill'!$A$15:$X$96,18)</f>
        <v>0</v>
      </c>
      <c r="I22" s="45">
        <f>VLOOKUP($A22,'NG-Aug-Bill'!$A$15:$X$96,18)</f>
        <v>58.66</v>
      </c>
      <c r="J22" s="45">
        <f>VLOOKUP($A22,'NG-Sept-Bill'!$A$15:$X$96,18)</f>
        <v>33.39</v>
      </c>
      <c r="K22" s="45">
        <f>VLOOKUP($A22,'NG-Oct-Bill'!$A$15:$X$96,18)</f>
        <v>32.61</v>
      </c>
      <c r="L22" s="45">
        <f>VLOOKUP($A22,'NG-Nov-Bill'!$A$15:$X$96,18)</f>
        <v>30.61</v>
      </c>
      <c r="M22" s="45">
        <f>VLOOKUP($A22,'NG-Dec-Bill'!$A$15:$X$96,18)</f>
        <v>30.86</v>
      </c>
      <c r="O22" s="45">
        <f t="shared" si="0"/>
        <v>319.11</v>
      </c>
    </row>
    <row r="23" spans="1:15">
      <c r="A23" s="44">
        <v>783104003</v>
      </c>
      <c r="B23" s="45">
        <f>VLOOKUP($A23,'NG-Jan-Bill'!$A$15:$X$96,18)</f>
        <v>24.77</v>
      </c>
      <c r="C23" s="45">
        <f>VLOOKUP($A23,'NG-Feb-Bill'!$A$15:$X$96,18)</f>
        <v>22.69</v>
      </c>
      <c r="D23" s="45">
        <f>VLOOKUP($A23,'NG_Mar-Bill'!$A$15:$X$96,18)</f>
        <v>22.51</v>
      </c>
      <c r="E23" s="45">
        <f>VLOOKUP($A23,'NG-Apr-Bill'!$A$15:$X$96,18)</f>
        <v>22.06</v>
      </c>
      <c r="F23" s="45">
        <f>VLOOKUP($A23,'NG-May-Bill'!$A$15:$X$96,18)</f>
        <v>21.75</v>
      </c>
      <c r="G23" s="45">
        <f>VLOOKUP($A23,'NG-Jun-Bill'!$A$15:$X$96,18)</f>
        <v>21.68</v>
      </c>
      <c r="H23" s="45">
        <f>VLOOKUP($A23,'NG-Jul-Bill'!$A$15:$X$96,18)</f>
        <v>21.39</v>
      </c>
      <c r="I23" s="45">
        <f>VLOOKUP($A23,'NG-Aug-Bill'!$A$15:$X$96,18)</f>
        <v>21.5</v>
      </c>
      <c r="J23" s="45">
        <f>VLOOKUP($A23,'NG-Sept-Bill'!$A$15:$X$96,18)</f>
        <v>21.62</v>
      </c>
      <c r="K23" s="45">
        <f>VLOOKUP($A23,'NG-Oct-Bill'!$A$15:$X$96,18)</f>
        <v>21.16</v>
      </c>
      <c r="L23" s="45">
        <f>VLOOKUP($A23,'NG-Nov-Bill'!$A$15:$X$96,18)</f>
        <v>21.3</v>
      </c>
      <c r="M23" s="45">
        <f>VLOOKUP($A23,'NG-Dec-Bill'!$A$15:$X$96,18)</f>
        <v>22.11</v>
      </c>
      <c r="O23" s="45">
        <f t="shared" si="0"/>
        <v>264.54000000000002</v>
      </c>
    </row>
    <row r="24" spans="1:15">
      <c r="A24" s="44">
        <v>852028007</v>
      </c>
      <c r="B24" s="45">
        <f>VLOOKUP($A24,'NG-Jan-Bill'!$A$15:$X$96,18)</f>
        <v>0</v>
      </c>
      <c r="C24" s="45">
        <f>VLOOKUP($A24,'NG-Feb-Bill'!$A$15:$X$96,18)</f>
        <v>0</v>
      </c>
      <c r="D24" s="45">
        <f>VLOOKUP($A24,'NG_Mar-Bill'!$A$15:$X$96,18)</f>
        <v>0</v>
      </c>
      <c r="E24" s="45">
        <f>VLOOKUP($A24,'NG-Apr-Bill'!$A$15:$X$96,18)</f>
        <v>0</v>
      </c>
      <c r="F24" s="45">
        <f>VLOOKUP($A24,'NG-May-Bill'!$A$15:$X$96,18)</f>
        <v>0</v>
      </c>
      <c r="G24" s="45">
        <f>VLOOKUP($A24,'NG-Jun-Bill'!$A$15:$X$96,18)</f>
        <v>0</v>
      </c>
      <c r="H24" s="45">
        <f>VLOOKUP($A24,'NG-Jul-Bill'!$A$15:$X$96,18)</f>
        <v>0</v>
      </c>
      <c r="I24" s="45">
        <f>VLOOKUP($A24,'NG-Aug-Bill'!$A$15:$X$96,18)</f>
        <v>0</v>
      </c>
      <c r="J24" s="45">
        <f>VLOOKUP($A24,'NG-Sept-Bill'!$A$15:$X$96,18)</f>
        <v>0</v>
      </c>
      <c r="K24" s="45">
        <f>VLOOKUP($A24,'NG-Oct-Bill'!$A$15:$X$96,18)</f>
        <v>0</v>
      </c>
      <c r="L24" s="45">
        <f>VLOOKUP($A24,'NG-Nov-Bill'!$A$15:$X$96,18)</f>
        <v>0</v>
      </c>
      <c r="M24" s="45">
        <f>VLOOKUP($A24,'NG-Dec-Bill'!$A$15:$X$96,18)</f>
        <v>0</v>
      </c>
      <c r="O24" s="45">
        <f t="shared" si="0"/>
        <v>0</v>
      </c>
    </row>
    <row r="25" spans="1:15">
      <c r="A25" s="44">
        <v>893816110</v>
      </c>
      <c r="B25" s="45">
        <f>VLOOKUP($A25,'NG-Jan-Bill'!$A$15:$X$96,18)</f>
        <v>36.200000000000003</v>
      </c>
      <c r="C25" s="45">
        <f>VLOOKUP($A25,'NG-Feb-Bill'!$A$15:$X$96,18)</f>
        <v>28.21</v>
      </c>
      <c r="D25" s="45">
        <f>VLOOKUP($A25,'NG_Mar-Bill'!$A$15:$X$96,18)</f>
        <v>29.77</v>
      </c>
      <c r="E25" s="45">
        <f>VLOOKUP($A25,'NG-Apr-Bill'!$A$15:$X$96,18)</f>
        <v>27.54</v>
      </c>
      <c r="F25" s="45">
        <f>VLOOKUP($A25,'NG-May-Bill'!$A$15:$X$96,18)</f>
        <v>27.16</v>
      </c>
      <c r="G25" s="45">
        <f>VLOOKUP($A25,'NG-Jun-Bill'!$A$15:$X$96,18)</f>
        <v>27.12</v>
      </c>
      <c r="H25" s="45">
        <f>VLOOKUP($A25,'NG-Jul-Bill'!$A$15:$X$96,18)</f>
        <v>25.72</v>
      </c>
      <c r="I25" s="45">
        <f>VLOOKUP($A25,'NG-Aug-Bill'!$A$15:$X$96,18)</f>
        <v>25.52</v>
      </c>
      <c r="J25" s="45">
        <f>VLOOKUP($A25,'NG-Sept-Bill'!$A$15:$X$96,18)</f>
        <v>25.85</v>
      </c>
      <c r="K25" s="45">
        <f>VLOOKUP($A25,'NG-Oct-Bill'!$A$15:$X$96,18)</f>
        <v>26.07</v>
      </c>
      <c r="L25" s="45">
        <f>VLOOKUP($A25,'NG-Nov-Bill'!$A$15:$X$96,18)</f>
        <v>26.22</v>
      </c>
      <c r="M25" s="45">
        <f>VLOOKUP($A25,'NG-Dec-Bill'!$A$15:$X$96,18)</f>
        <v>28.13</v>
      </c>
      <c r="O25" s="45">
        <f t="shared" si="0"/>
        <v>333.51</v>
      </c>
    </row>
    <row r="26" spans="1:15">
      <c r="A26" s="44">
        <v>893819102</v>
      </c>
      <c r="B26" s="45">
        <f>VLOOKUP($A26,'NG-Jan-Bill'!$A$15:$X$96,18)</f>
        <v>0</v>
      </c>
      <c r="C26" s="45">
        <f>VLOOKUP($A26,'NG-Feb-Bill'!$A$15:$X$96,18)</f>
        <v>0</v>
      </c>
      <c r="D26" s="45">
        <f>VLOOKUP($A26,'NG_Mar-Bill'!$A$15:$X$96,18)</f>
        <v>0</v>
      </c>
      <c r="E26" s="45">
        <f>VLOOKUP($A26,'NG-Apr-Bill'!$A$15:$X$96,18)</f>
        <v>0</v>
      </c>
      <c r="F26" s="45">
        <f>VLOOKUP($A26,'NG-May-Bill'!$A$15:$X$96,18)</f>
        <v>0</v>
      </c>
      <c r="G26" s="45">
        <f>VLOOKUP($A26,'NG-Jun-Bill'!$A$15:$X$96,18)</f>
        <v>0</v>
      </c>
      <c r="H26" s="45">
        <f>VLOOKUP($A26,'NG-Jul-Bill'!$A$15:$X$96,18)</f>
        <v>0</v>
      </c>
      <c r="I26" s="45">
        <f>VLOOKUP($A26,'NG-Aug-Bill'!$A$15:$X$96,18)</f>
        <v>0</v>
      </c>
      <c r="J26" s="45">
        <f>VLOOKUP($A26,'NG-Sept-Bill'!$A$15:$X$96,18)</f>
        <v>0</v>
      </c>
      <c r="K26" s="45">
        <f>VLOOKUP($A26,'NG-Oct-Bill'!$A$15:$X$96,18)</f>
        <v>0</v>
      </c>
      <c r="L26" s="45">
        <f>VLOOKUP($A26,'NG-Nov-Bill'!$A$15:$X$96,18)</f>
        <v>0</v>
      </c>
      <c r="M26" s="45">
        <f>VLOOKUP($A26,'NG-Dec-Bill'!$A$15:$X$96,18)</f>
        <v>0</v>
      </c>
      <c r="O26" s="45">
        <f t="shared" si="0"/>
        <v>0</v>
      </c>
    </row>
    <row r="27" spans="1:15">
      <c r="A27" s="44">
        <v>913819100</v>
      </c>
      <c r="B27" s="45">
        <f>VLOOKUP($A27,'NG-Jan-Bill'!$A$15:$X$96,18)</f>
        <v>0</v>
      </c>
      <c r="C27" s="45">
        <f>VLOOKUP($A27,'NG-Feb-Bill'!$A$15:$X$96,18)</f>
        <v>0</v>
      </c>
      <c r="D27" s="45">
        <f>VLOOKUP($A27,'NG_Mar-Bill'!$A$15:$X$96,18)</f>
        <v>0</v>
      </c>
      <c r="E27" s="45">
        <f>VLOOKUP($A27,'NG-Apr-Bill'!$A$15:$X$96,18)</f>
        <v>0</v>
      </c>
      <c r="F27" s="45">
        <f>VLOOKUP($A27,'NG-May-Bill'!$A$15:$X$96,18)</f>
        <v>0</v>
      </c>
      <c r="G27" s="45">
        <f>VLOOKUP($A27,'NG-Jun-Bill'!$A$15:$X$96,18)</f>
        <v>0</v>
      </c>
      <c r="H27" s="45">
        <f>VLOOKUP($A27,'NG-Jul-Bill'!$A$15:$X$96,18)</f>
        <v>0</v>
      </c>
      <c r="I27" s="45">
        <f>VLOOKUP($A27,'NG-Aug-Bill'!$A$15:$X$96,18)</f>
        <v>0</v>
      </c>
      <c r="J27" s="45">
        <f>VLOOKUP($A27,'NG-Sept-Bill'!$A$15:$X$96,18)</f>
        <v>0</v>
      </c>
      <c r="K27" s="45">
        <f>VLOOKUP($A27,'NG-Oct-Bill'!$A$15:$X$96,18)</f>
        <v>0</v>
      </c>
      <c r="L27" s="45">
        <f>VLOOKUP($A27,'NG-Nov-Bill'!$A$15:$X$96,18)</f>
        <v>0</v>
      </c>
      <c r="M27" s="45">
        <f>VLOOKUP($A27,'NG-Dec-Bill'!$A$15:$X$96,18)</f>
        <v>0</v>
      </c>
      <c r="O27" s="45">
        <f t="shared" si="0"/>
        <v>0</v>
      </c>
    </row>
    <row r="28" spans="1:15">
      <c r="A28" s="44">
        <v>933819115</v>
      </c>
      <c r="B28" s="45">
        <f>VLOOKUP($A28,'NG-Jan-Bill'!$A$15:$X$96,18)</f>
        <v>0</v>
      </c>
      <c r="C28" s="45">
        <f>VLOOKUP($A28,'NG-Feb-Bill'!$A$15:$X$96,18)</f>
        <v>0</v>
      </c>
      <c r="D28" s="45">
        <f>VLOOKUP($A28,'NG_Mar-Bill'!$A$15:$X$96,18)</f>
        <v>0</v>
      </c>
      <c r="E28" s="45">
        <f>VLOOKUP($A28,'NG-Apr-Bill'!$A$15:$X$96,18)</f>
        <v>0</v>
      </c>
      <c r="F28" s="45">
        <f>VLOOKUP($A28,'NG-May-Bill'!$A$15:$X$96,18)</f>
        <v>0</v>
      </c>
      <c r="G28" s="45">
        <f>VLOOKUP($A28,'NG-Jun-Bill'!$A$15:$X$96,18)</f>
        <v>0</v>
      </c>
      <c r="H28" s="45">
        <f>VLOOKUP($A28,'NG-Jul-Bill'!$A$15:$X$96,18)</f>
        <v>0</v>
      </c>
      <c r="I28" s="45">
        <f>VLOOKUP($A28,'NG-Aug-Bill'!$A$15:$X$96,18)</f>
        <v>0</v>
      </c>
      <c r="J28" s="45">
        <f>VLOOKUP($A28,'NG-Sept-Bill'!$A$15:$X$96,18)</f>
        <v>0</v>
      </c>
      <c r="K28" s="45">
        <f>VLOOKUP($A28,'NG-Oct-Bill'!$A$15:$X$96,18)</f>
        <v>0</v>
      </c>
      <c r="L28" s="45">
        <f>VLOOKUP($A28,'NG-Nov-Bill'!$A$15:$X$96,18)</f>
        <v>0</v>
      </c>
      <c r="M28" s="45">
        <f>VLOOKUP($A28,'NG-Dec-Bill'!$A$15:$X$96,18)</f>
        <v>0</v>
      </c>
      <c r="O28" s="45">
        <f t="shared" si="0"/>
        <v>0</v>
      </c>
    </row>
    <row r="29" spans="1:15">
      <c r="A29" s="44">
        <v>948810124</v>
      </c>
      <c r="B29" s="45">
        <f>VLOOKUP($A29,'NG-Jan-Bill'!$A$15:$X$96,18)</f>
        <v>97.05</v>
      </c>
      <c r="C29" s="45">
        <f>VLOOKUP($A29,'NG-Feb-Bill'!$A$15:$X$96,18)</f>
        <v>96.35</v>
      </c>
      <c r="D29" s="45">
        <f>VLOOKUP($A29,'NG_Mar-Bill'!$A$15:$X$96,18)</f>
        <v>70.59</v>
      </c>
      <c r="E29" s="45">
        <f>VLOOKUP($A29,'NG-Apr-Bill'!$A$15:$X$96,18)</f>
        <v>98.43</v>
      </c>
      <c r="F29" s="45">
        <f>VLOOKUP($A29,'NG-May-Bill'!$A$15:$X$96,18)</f>
        <v>96.56</v>
      </c>
      <c r="G29" s="45">
        <f>VLOOKUP($A29,'NG-Jun-Bill'!$A$15:$X$96,18)</f>
        <v>113.75</v>
      </c>
      <c r="H29" s="45">
        <f>VLOOKUP($A29,'NG-Jul-Bill'!$A$15:$X$96,18)</f>
        <v>110.81</v>
      </c>
      <c r="I29" s="45">
        <f>VLOOKUP($A29,'NG-Aug-Bill'!$A$15:$X$96,18)</f>
        <v>70.84</v>
      </c>
      <c r="J29" s="45">
        <f>VLOOKUP($A29,'NG-Sept-Bill'!$A$15:$X$96,18)</f>
        <v>65.849999999999994</v>
      </c>
      <c r="K29" s="45">
        <f>VLOOKUP($A29,'NG-Oct-Bill'!$A$15:$X$96,18)</f>
        <v>61.59</v>
      </c>
      <c r="L29" s="45">
        <f>VLOOKUP($A29,'NG-Nov-Bill'!$A$15:$X$96,18)</f>
        <v>50.84</v>
      </c>
      <c r="M29" s="45">
        <f>VLOOKUP($A29,'NG-Dec-Bill'!$A$15:$X$96,18)</f>
        <v>64.03</v>
      </c>
      <c r="O29" s="45">
        <f t="shared" si="0"/>
        <v>996.69</v>
      </c>
    </row>
    <row r="30" spans="1:15">
      <c r="A30" s="44">
        <v>1028809119</v>
      </c>
      <c r="B30" s="45">
        <f>VLOOKUP($A30,'NG-Jan-Bill'!$A$15:$X$96,18)</f>
        <v>21.02</v>
      </c>
      <c r="C30" s="45">
        <f>VLOOKUP($A30,'NG-Feb-Bill'!$A$15:$X$96,18)</f>
        <v>21.02</v>
      </c>
      <c r="D30" s="45">
        <f>VLOOKUP($A30,'NG_Mar-Bill'!$A$15:$X$96,18)</f>
        <v>21.02</v>
      </c>
      <c r="E30" s="45">
        <f>VLOOKUP($A30,'NG-Apr-Bill'!$A$15:$X$96,18)</f>
        <v>20.62</v>
      </c>
      <c r="F30" s="45">
        <f>VLOOKUP($A30,'NG-May-Bill'!$A$15:$X$96,18)</f>
        <v>20.62</v>
      </c>
      <c r="G30" s="45">
        <f>VLOOKUP($A30,'NG-Jun-Bill'!$A$15:$X$96,18)</f>
        <v>20.62</v>
      </c>
      <c r="H30" s="45">
        <f>VLOOKUP($A30,'NG-Jul-Bill'!$A$15:$X$96,18)</f>
        <v>20.62</v>
      </c>
      <c r="I30" s="45">
        <f>VLOOKUP($A30,'NG-Aug-Bill'!$A$15:$X$96,18)</f>
        <v>20.62</v>
      </c>
      <c r="J30" s="45">
        <f>VLOOKUP($A30,'NG-Sept-Bill'!$A$15:$X$96,18)</f>
        <v>20.62</v>
      </c>
      <c r="K30" s="45">
        <f>VLOOKUP($A30,'NG-Oct-Bill'!$A$15:$X$96,18)</f>
        <v>20.62</v>
      </c>
      <c r="L30" s="45">
        <f>VLOOKUP($A30,'NG-Nov-Bill'!$A$15:$X$96,18)</f>
        <v>20.62</v>
      </c>
      <c r="M30" s="45">
        <f>VLOOKUP($A30,'NG-Dec-Bill'!$A$15:$X$96,18)</f>
        <v>20.62</v>
      </c>
      <c r="O30" s="45">
        <f t="shared" si="0"/>
        <v>248.64000000000004</v>
      </c>
    </row>
    <row r="31" spans="1:15">
      <c r="A31" s="44">
        <v>1133133008</v>
      </c>
      <c r="B31" s="45">
        <f>VLOOKUP($A31,'NG-Jan-Bill'!$A$15:$X$96,18)</f>
        <v>32.64</v>
      </c>
      <c r="C31" s="45">
        <f>VLOOKUP($A31,'NG-Feb-Bill'!$A$15:$X$96,18)</f>
        <v>31.71</v>
      </c>
      <c r="D31" s="45">
        <f>VLOOKUP($A31,'NG_Mar-Bill'!$A$15:$X$96,18)</f>
        <v>32.6</v>
      </c>
      <c r="E31" s="45">
        <f>VLOOKUP($A31,'NG-Apr-Bill'!$A$15:$X$96,18)</f>
        <v>31.62</v>
      </c>
      <c r="F31" s="45">
        <f>VLOOKUP($A31,'NG-May-Bill'!$A$15:$X$96,18)</f>
        <v>30.87</v>
      </c>
      <c r="G31" s="45">
        <f>VLOOKUP($A31,'NG-Jun-Bill'!$A$15:$X$96,18)</f>
        <v>31.3</v>
      </c>
      <c r="H31" s="45">
        <f>VLOOKUP($A31,'NG-Jul-Bill'!$A$15:$X$96,18)</f>
        <v>29.34</v>
      </c>
      <c r="I31" s="45">
        <f>VLOOKUP($A31,'NG-Aug-Bill'!$A$15:$X$96,18)</f>
        <v>30.16</v>
      </c>
      <c r="J31" s="45">
        <f>VLOOKUP($A31,'NG-Sept-Bill'!$A$15:$X$96,18)</f>
        <v>29.27</v>
      </c>
      <c r="K31" s="45">
        <f>VLOOKUP($A31,'NG-Oct-Bill'!$A$15:$X$96,18)</f>
        <v>29.42</v>
      </c>
      <c r="L31" s="45">
        <f>VLOOKUP($A31,'NG-Nov-Bill'!$A$15:$X$96,18)</f>
        <v>28.49</v>
      </c>
      <c r="M31" s="45">
        <f>VLOOKUP($A31,'NG-Dec-Bill'!$A$15:$X$96,18)</f>
        <v>30.51</v>
      </c>
      <c r="O31" s="45">
        <f t="shared" si="0"/>
        <v>367.93</v>
      </c>
    </row>
    <row r="32" spans="1:15">
      <c r="A32" s="44">
        <v>1133819101</v>
      </c>
      <c r="B32" s="45">
        <f>VLOOKUP($A32,'NG-Jan-Bill'!$A$15:$X$96,18)</f>
        <v>57.32</v>
      </c>
      <c r="C32" s="45">
        <f>VLOOKUP($A32,'NG-Feb-Bill'!$A$15:$X$96,18)</f>
        <v>51.9</v>
      </c>
      <c r="D32" s="45">
        <f>VLOOKUP($A32,'NG_Mar-Bill'!$A$15:$X$96,18)</f>
        <v>52.23</v>
      </c>
      <c r="E32" s="45">
        <f>VLOOKUP($A32,'NG-Apr-Bill'!$A$15:$X$96,18)</f>
        <v>52.88</v>
      </c>
      <c r="F32" s="45">
        <f>VLOOKUP($A32,'NG-May-Bill'!$A$15:$X$96,18)</f>
        <v>48.75</v>
      </c>
      <c r="G32" s="45">
        <f>VLOOKUP($A32,'NG-Jun-Bill'!$A$15:$X$96,18)</f>
        <v>49.35</v>
      </c>
      <c r="H32" s="45">
        <f>VLOOKUP($A32,'NG-Jul-Bill'!$A$15:$X$96,18)</f>
        <v>45.55</v>
      </c>
      <c r="I32" s="45">
        <f>VLOOKUP($A32,'NG-Aug-Bill'!$A$15:$X$96,18)</f>
        <v>48.98</v>
      </c>
      <c r="J32" s="45">
        <f>VLOOKUP($A32,'NG-Sept-Bill'!$A$15:$X$96,18)</f>
        <v>44.5</v>
      </c>
      <c r="K32" s="45">
        <f>VLOOKUP($A32,'NG-Oct-Bill'!$A$15:$X$96,18)</f>
        <v>46</v>
      </c>
      <c r="L32" s="45">
        <f>VLOOKUP($A32,'NG-Nov-Bill'!$A$15:$X$96,18)</f>
        <v>44.03</v>
      </c>
      <c r="M32" s="45">
        <f>VLOOKUP($A32,'NG-Dec-Bill'!$A$15:$X$96,18)</f>
        <v>48.83</v>
      </c>
      <c r="O32" s="45">
        <f t="shared" si="0"/>
        <v>590.32000000000005</v>
      </c>
    </row>
    <row r="33" spans="1:15">
      <c r="A33" s="44">
        <v>1193808115</v>
      </c>
      <c r="B33" s="45">
        <f>VLOOKUP($A33,'NG-Jan-Bill'!$A$15:$X$96,18)</f>
        <v>29.8</v>
      </c>
      <c r="C33" s="45">
        <f>VLOOKUP($A33,'NG-Feb-Bill'!$A$15:$X$96,18)</f>
        <v>36.549999999999997</v>
      </c>
      <c r="D33" s="45">
        <f>VLOOKUP($A33,'NG_Mar-Bill'!$A$15:$X$96,18)</f>
        <v>68.3</v>
      </c>
      <c r="E33" s="45">
        <f>VLOOKUP($A33,'NG-Apr-Bill'!$A$15:$X$96,18)</f>
        <v>56.61</v>
      </c>
      <c r="F33" s="45">
        <f>VLOOKUP($A33,'NG-May-Bill'!$A$15:$X$96,18)</f>
        <v>38.520000000000003</v>
      </c>
      <c r="G33" s="45">
        <f>VLOOKUP($A33,'NG-Jun-Bill'!$A$15:$X$96,18)</f>
        <v>26.9</v>
      </c>
      <c r="H33" s="45">
        <f>VLOOKUP($A33,'NG-Jul-Bill'!$A$15:$X$96,18)</f>
        <v>24.58</v>
      </c>
      <c r="I33" s="45">
        <f>VLOOKUP($A33,'NG-Aug-Bill'!$A$15:$X$96,18)</f>
        <v>24.65</v>
      </c>
      <c r="J33" s="45">
        <f>VLOOKUP($A33,'NG-Sept-Bill'!$A$15:$X$96,18)</f>
        <v>24.84</v>
      </c>
      <c r="K33" s="45">
        <f>VLOOKUP($A33,'NG-Oct-Bill'!$A$15:$X$96,18)</f>
        <v>27</v>
      </c>
      <c r="L33" s="45">
        <f>VLOOKUP($A33,'NG-Nov-Bill'!$A$15:$X$96,18)</f>
        <v>37.36</v>
      </c>
      <c r="M33" s="45">
        <f>VLOOKUP($A33,'NG-Dec-Bill'!$A$15:$X$96,18)</f>
        <v>59.13</v>
      </c>
      <c r="O33" s="45">
        <f t="shared" si="0"/>
        <v>454.23999999999995</v>
      </c>
    </row>
    <row r="34" spans="1:15">
      <c r="A34" s="44">
        <v>1492627005</v>
      </c>
      <c r="B34" s="45">
        <f>VLOOKUP($A34,'NG-Jan-Bill'!$A$15:$X$96,18)</f>
        <v>27.79</v>
      </c>
      <c r="C34" s="45">
        <f>VLOOKUP($A34,'NG-Feb-Bill'!$A$15:$X$96,18)</f>
        <v>27.02</v>
      </c>
      <c r="D34" s="45">
        <f>VLOOKUP($A34,'NG_Mar-Bill'!$A$15:$X$96,18)</f>
        <v>27.41</v>
      </c>
      <c r="E34" s="45">
        <f>VLOOKUP($A34,'NG-Apr-Bill'!$A$15:$X$96,18)</f>
        <v>27.33</v>
      </c>
      <c r="F34" s="45">
        <f>VLOOKUP($A34,'NG-May-Bill'!$A$15:$X$96,18)</f>
        <v>26.12</v>
      </c>
      <c r="G34" s="45">
        <f>VLOOKUP($A34,'NG-Jun-Bill'!$A$15:$X$96,18)</f>
        <v>26.79</v>
      </c>
      <c r="H34" s="45">
        <f>VLOOKUP($A34,'NG-Jul-Bill'!$A$15:$X$96,18)</f>
        <v>25.35</v>
      </c>
      <c r="I34" s="45">
        <f>VLOOKUP($A34,'NG-Aug-Bill'!$A$15:$X$96,18)</f>
        <v>25.57</v>
      </c>
      <c r="J34" s="45">
        <f>VLOOKUP($A34,'NG-Sept-Bill'!$A$15:$X$96,18)</f>
        <v>26.08</v>
      </c>
      <c r="K34" s="45">
        <f>VLOOKUP($A34,'NG-Oct-Bill'!$A$15:$X$96,18)</f>
        <v>25.51</v>
      </c>
      <c r="L34" s="45">
        <f>VLOOKUP($A34,'NG-Nov-Bill'!$A$15:$X$96,18)</f>
        <v>25.49</v>
      </c>
      <c r="M34" s="45">
        <f>VLOOKUP($A34,'NG-Dec-Bill'!$A$15:$X$96,18)</f>
        <v>26.34</v>
      </c>
      <c r="O34" s="45">
        <f t="shared" si="0"/>
        <v>316.79999999999995</v>
      </c>
    </row>
    <row r="35" spans="1:15">
      <c r="A35" s="44">
        <v>1513818115</v>
      </c>
      <c r="B35" s="45">
        <f>VLOOKUP($A35,'NG-Jan-Bill'!$A$15:$X$96,18)</f>
        <v>35.72</v>
      </c>
      <c r="C35" s="45">
        <f>VLOOKUP($A35,'NG-Feb-Bill'!$A$15:$X$96,18)</f>
        <v>35.1</v>
      </c>
      <c r="D35" s="45">
        <f>VLOOKUP($A35,'NG_Mar-Bill'!$A$15:$X$96,18)</f>
        <v>34.6</v>
      </c>
      <c r="E35" s="45">
        <f>VLOOKUP($A35,'NG-Apr-Bill'!$A$15:$X$96,18)</f>
        <v>34.76</v>
      </c>
      <c r="F35" s="45">
        <f>VLOOKUP($A35,'NG-May-Bill'!$A$15:$X$96,18)</f>
        <v>32.020000000000003</v>
      </c>
      <c r="G35" s="45">
        <f>VLOOKUP($A35,'NG-Jun-Bill'!$A$15:$X$96,18)</f>
        <v>33.24</v>
      </c>
      <c r="H35" s="45">
        <f>VLOOKUP($A35,'NG-Jul-Bill'!$A$15:$X$96,18)</f>
        <v>30.34</v>
      </c>
      <c r="I35" s="45">
        <f>VLOOKUP($A35,'NG-Aug-Bill'!$A$15:$X$96,18)</f>
        <v>29.07</v>
      </c>
      <c r="J35" s="45">
        <f>VLOOKUP($A35,'NG-Sept-Bill'!$A$15:$X$96,18)</f>
        <v>26.95</v>
      </c>
      <c r="K35" s="45">
        <f>VLOOKUP($A35,'NG-Oct-Bill'!$A$15:$X$96,18)</f>
        <v>27.4</v>
      </c>
      <c r="L35" s="45">
        <f>VLOOKUP($A35,'NG-Nov-Bill'!$A$15:$X$96,18)</f>
        <v>29.11</v>
      </c>
      <c r="M35" s="45">
        <f>VLOOKUP($A35,'NG-Dec-Bill'!$A$15:$X$96,18)</f>
        <v>30.81</v>
      </c>
      <c r="O35" s="45">
        <f t="shared" si="0"/>
        <v>379.12</v>
      </c>
    </row>
    <row r="36" spans="1:15">
      <c r="A36" s="44">
        <v>1608811106</v>
      </c>
      <c r="B36" s="45">
        <f>VLOOKUP($A36,'NG-Jan-Bill'!$A$15:$X$96,18)</f>
        <v>92.65</v>
      </c>
      <c r="C36" s="45">
        <f>VLOOKUP($A36,'NG-Feb-Bill'!$A$15:$X$96,18)</f>
        <v>84.72</v>
      </c>
      <c r="D36" s="45">
        <f>VLOOKUP($A36,'NG_Mar-Bill'!$A$15:$X$96,18)</f>
        <v>103.36</v>
      </c>
      <c r="E36" s="45">
        <f>VLOOKUP($A36,'NG-Apr-Bill'!$A$15:$X$96,18)</f>
        <v>147.71</v>
      </c>
      <c r="F36" s="45">
        <f>VLOOKUP($A36,'NG-May-Bill'!$A$15:$X$96,18)</f>
        <v>584.08000000000004</v>
      </c>
      <c r="G36" s="45">
        <f>VLOOKUP($A36,'NG-Jun-Bill'!$A$15:$X$96,18)</f>
        <v>699.42</v>
      </c>
      <c r="H36" s="45">
        <f>VLOOKUP($A36,'NG-Jul-Bill'!$A$15:$X$96,18)</f>
        <v>630.45000000000005</v>
      </c>
      <c r="I36" s="45">
        <f>VLOOKUP($A36,'NG-Aug-Bill'!$A$15:$X$96,18)</f>
        <v>650.96</v>
      </c>
      <c r="J36" s="45">
        <f>VLOOKUP($A36,'NG-Sept-Bill'!$A$15:$X$96,18)</f>
        <v>647.97</v>
      </c>
      <c r="K36" s="45">
        <f>VLOOKUP($A36,'NG-Oct-Bill'!$A$15:$X$96,18)</f>
        <v>557.51</v>
      </c>
      <c r="L36" s="45">
        <f>VLOOKUP($A36,'NG-Nov-Bill'!$A$15:$X$96,18)</f>
        <v>569.66999999999996</v>
      </c>
      <c r="M36" s="45">
        <f>VLOOKUP($A36,'NG-Dec-Bill'!$A$15:$X$96,18)</f>
        <v>92.37</v>
      </c>
      <c r="O36" s="45">
        <f t="shared" si="0"/>
        <v>4860.8700000000008</v>
      </c>
    </row>
    <row r="37" spans="1:15">
      <c r="A37" s="44">
        <v>1653819107</v>
      </c>
      <c r="B37" s="45">
        <f>VLOOKUP($A37,'NG-Jan-Bill'!$A$15:$X$96,18)</f>
        <v>88.98</v>
      </c>
      <c r="C37" s="45">
        <f>VLOOKUP($A37,'NG-Feb-Bill'!$A$15:$X$96,18)</f>
        <v>83.89</v>
      </c>
      <c r="D37" s="45">
        <f>VLOOKUP($A37,'NG_Mar-Bill'!$A$15:$X$96,18)</f>
        <v>81.89</v>
      </c>
      <c r="E37" s="45">
        <f>VLOOKUP($A37,'NG-Apr-Bill'!$A$15:$X$96,18)</f>
        <v>83.35</v>
      </c>
      <c r="F37" s="45">
        <f>VLOOKUP($A37,'NG-May-Bill'!$A$15:$X$96,18)</f>
        <v>75.400000000000006</v>
      </c>
      <c r="G37" s="45">
        <f>VLOOKUP($A37,'NG-Jun-Bill'!$A$15:$X$96,18)</f>
        <v>75.62</v>
      </c>
      <c r="H37" s="45">
        <f>VLOOKUP($A37,'NG-Jul-Bill'!$A$15:$X$96,18)</f>
        <v>66.77</v>
      </c>
      <c r="I37" s="45">
        <f>VLOOKUP($A37,'NG-Aug-Bill'!$A$15:$X$96,18)</f>
        <v>74.59</v>
      </c>
      <c r="J37" s="45">
        <f>VLOOKUP($A37,'NG-Sept-Bill'!$A$15:$X$96,18)</f>
        <v>64.510000000000005</v>
      </c>
      <c r="K37" s="45">
        <f>VLOOKUP($A37,'NG-Oct-Bill'!$A$15:$X$96,18)</f>
        <v>69.680000000000007</v>
      </c>
      <c r="L37" s="45">
        <f>VLOOKUP($A37,'NG-Nov-Bill'!$A$15:$X$96,18)</f>
        <v>65.66</v>
      </c>
      <c r="M37" s="45">
        <f>VLOOKUP($A37,'NG-Dec-Bill'!$A$15:$X$96,18)</f>
        <v>75.510000000000005</v>
      </c>
      <c r="O37" s="45">
        <f t="shared" si="0"/>
        <v>905.85</v>
      </c>
    </row>
    <row r="38" spans="1:15">
      <c r="A38" s="44">
        <v>1833820108</v>
      </c>
      <c r="B38" s="45">
        <f>VLOOKUP($A38,'NG-Jan-Bill'!$A$15:$X$96,18)</f>
        <v>91.57</v>
      </c>
      <c r="C38" s="45">
        <f>VLOOKUP($A38,'NG-Feb-Bill'!$A$15:$X$96,18)</f>
        <v>84.43</v>
      </c>
      <c r="D38" s="45">
        <f>VLOOKUP($A38,'NG_Mar-Bill'!$A$15:$X$96,18)</f>
        <v>82.93</v>
      </c>
      <c r="E38" s="45">
        <f>VLOOKUP($A38,'NG-Apr-Bill'!$A$15:$X$96,18)</f>
        <v>85.22</v>
      </c>
      <c r="F38" s="45">
        <f>VLOOKUP($A38,'NG-May-Bill'!$A$15:$X$96,18)</f>
        <v>77.05</v>
      </c>
      <c r="G38" s="45">
        <f>VLOOKUP($A38,'NG-Jun-Bill'!$A$15:$X$96,18)</f>
        <v>76.62</v>
      </c>
      <c r="H38" s="45">
        <f>VLOOKUP($A38,'NG-Jul-Bill'!$A$15:$X$96,18)</f>
        <v>67.5</v>
      </c>
      <c r="I38" s="45">
        <f>VLOOKUP($A38,'NG-Aug-Bill'!$A$15:$X$96,18)</f>
        <v>73.739999999999995</v>
      </c>
      <c r="J38" s="45">
        <f>VLOOKUP($A38,'NG-Sept-Bill'!$A$15:$X$96,18)</f>
        <v>67.239999999999995</v>
      </c>
      <c r="K38" s="45">
        <f>VLOOKUP($A38,'NG-Oct-Bill'!$A$15:$X$96,18)</f>
        <v>70.760000000000005</v>
      </c>
      <c r="L38" s="45">
        <f>VLOOKUP($A38,'NG-Nov-Bill'!$A$15:$X$96,18)</f>
        <v>66.430000000000007</v>
      </c>
      <c r="M38" s="45">
        <f>VLOOKUP($A38,'NG-Dec-Bill'!$A$15:$X$96,18)</f>
        <v>75.63</v>
      </c>
      <c r="O38" s="45">
        <f t="shared" si="0"/>
        <v>919.12</v>
      </c>
    </row>
    <row r="39" spans="1:15">
      <c r="A39" s="44">
        <v>1851009009</v>
      </c>
      <c r="B39" s="45">
        <f>VLOOKUP($A39,'NG-Jan-Bill'!$A$15:$X$96,18)</f>
        <v>56.22</v>
      </c>
      <c r="C39" s="45">
        <f>VLOOKUP($A39,'NG-Feb-Bill'!$A$15:$X$96,18)</f>
        <v>53</v>
      </c>
      <c r="D39" s="45">
        <f>VLOOKUP($A39,'NG_Mar-Bill'!$A$15:$X$96,18)</f>
        <v>52.16</v>
      </c>
      <c r="E39" s="45">
        <f>VLOOKUP($A39,'NG-Apr-Bill'!$A$15:$X$96,18)</f>
        <v>52.88</v>
      </c>
      <c r="F39" s="45">
        <f>VLOOKUP($A39,'NG-May-Bill'!$A$15:$X$96,18)</f>
        <v>49.25</v>
      </c>
      <c r="G39" s="45">
        <f>VLOOKUP($A39,'NG-Jun-Bill'!$A$15:$X$96,18)</f>
        <v>48.61</v>
      </c>
      <c r="H39" s="45">
        <f>VLOOKUP($A39,'NG-Jul-Bill'!$A$15:$X$96,18)</f>
        <v>44.6</v>
      </c>
      <c r="I39" s="45">
        <f>VLOOKUP($A39,'NG-Aug-Bill'!$A$15:$X$96,18)</f>
        <v>47.84</v>
      </c>
      <c r="J39" s="45">
        <f>VLOOKUP($A39,'NG-Sept-Bill'!$A$15:$X$96,18)</f>
        <v>43.75</v>
      </c>
      <c r="K39" s="45">
        <f>VLOOKUP($A39,'NG-Oct-Bill'!$A$15:$X$96,18)</f>
        <v>45.56</v>
      </c>
      <c r="L39" s="45">
        <f>VLOOKUP($A39,'NG-Nov-Bill'!$A$15:$X$96,18)</f>
        <v>43.44</v>
      </c>
      <c r="M39" s="45">
        <f>VLOOKUP($A39,'NG-Dec-Bill'!$A$15:$X$96,18)</f>
        <v>48.15</v>
      </c>
      <c r="O39" s="45">
        <f t="shared" si="0"/>
        <v>585.46</v>
      </c>
    </row>
    <row r="40" spans="1:15">
      <c r="A40" s="44">
        <v>1933810131</v>
      </c>
      <c r="B40" s="45">
        <f>VLOOKUP($A40,'NG-Jan-Bill'!$A$15:$X$96,18)</f>
        <v>110.16</v>
      </c>
      <c r="C40" s="45">
        <f>VLOOKUP($A40,'NG-Feb-Bill'!$A$15:$X$96,18)</f>
        <v>120.27</v>
      </c>
      <c r="D40" s="45">
        <f>VLOOKUP($A40,'NG_Mar-Bill'!$A$15:$X$96,18)</f>
        <v>113.35</v>
      </c>
      <c r="E40" s="45">
        <f>VLOOKUP($A40,'NG-Apr-Bill'!$A$15:$X$96,18)</f>
        <v>112.38</v>
      </c>
      <c r="F40" s="45">
        <f>VLOOKUP($A40,'NG-May-Bill'!$A$15:$X$96,18)</f>
        <v>227.82</v>
      </c>
      <c r="G40" s="45">
        <f>VLOOKUP($A40,'NG-Jun-Bill'!$A$15:$X$96,18)</f>
        <v>343.59</v>
      </c>
      <c r="H40" s="45">
        <f>VLOOKUP($A40,'NG-Jul-Bill'!$A$15:$X$96,18)</f>
        <v>293.20999999999998</v>
      </c>
      <c r="I40" s="45">
        <f>VLOOKUP($A40,'NG-Aug-Bill'!$A$15:$X$96,18)</f>
        <v>312.13</v>
      </c>
      <c r="J40" s="45">
        <f>VLOOKUP($A40,'NG-Sept-Bill'!$A$15:$X$96,18)</f>
        <v>288.01</v>
      </c>
      <c r="K40" s="45">
        <f>VLOOKUP($A40,'NG-Oct-Bill'!$A$15:$X$96,18)</f>
        <v>100.65</v>
      </c>
      <c r="L40" s="45">
        <f>VLOOKUP($A40,'NG-Nov-Bill'!$A$15:$X$96,18)</f>
        <v>103.94</v>
      </c>
      <c r="M40" s="45">
        <f>VLOOKUP($A40,'NG-Dec-Bill'!$A$15:$X$96,18)</f>
        <v>101.13</v>
      </c>
      <c r="O40" s="45">
        <f t="shared" si="0"/>
        <v>2226.64</v>
      </c>
    </row>
    <row r="41" spans="1:15">
      <c r="A41" s="44">
        <v>2133819102</v>
      </c>
      <c r="B41" s="45">
        <f>VLOOKUP($A41,'NG-Jan-Bill'!$A$15:$X$96,18)</f>
        <v>229.07</v>
      </c>
      <c r="C41" s="45">
        <f>VLOOKUP($A41,'NG-Feb-Bill'!$A$15:$X$96,18)</f>
        <v>264.45999999999998</v>
      </c>
      <c r="D41" s="45">
        <f>VLOOKUP($A41,'NG_Mar-Bill'!$A$15:$X$96,18)</f>
        <v>194.28</v>
      </c>
      <c r="E41" s="45">
        <f>VLOOKUP($A41,'NG-Apr-Bill'!$A$15:$X$96,18)</f>
        <v>162.44999999999999</v>
      </c>
      <c r="F41" s="45">
        <f>VLOOKUP($A41,'NG-May-Bill'!$A$15:$X$96,18)</f>
        <v>164.46</v>
      </c>
      <c r="G41" s="45">
        <f>VLOOKUP($A41,'NG-Jun-Bill'!$A$15:$X$96,18)</f>
        <v>257.16000000000003</v>
      </c>
      <c r="H41" s="45">
        <f>VLOOKUP($A41,'NG-Jul-Bill'!$A$15:$X$96,18)</f>
        <v>228.81</v>
      </c>
      <c r="I41" s="45">
        <f>VLOOKUP($A41,'NG-Aug-Bill'!$A$15:$X$96,18)</f>
        <v>145.88999999999999</v>
      </c>
      <c r="J41" s="45">
        <f>VLOOKUP($A41,'NG-Sept-Bill'!$A$15:$X$96,18)</f>
        <v>145.36000000000001</v>
      </c>
      <c r="K41" s="45">
        <f>VLOOKUP($A41,'NG-Oct-Bill'!$A$15:$X$96,18)</f>
        <v>149.32</v>
      </c>
      <c r="L41" s="45">
        <f>VLOOKUP($A41,'NG-Nov-Bill'!$A$15:$X$96,18)</f>
        <v>254.19</v>
      </c>
      <c r="M41" s="45">
        <f>VLOOKUP($A41,'NG-Dec-Bill'!$A$15:$X$96,18)</f>
        <v>200.38</v>
      </c>
      <c r="O41" s="45">
        <f t="shared" si="0"/>
        <v>2395.83</v>
      </c>
    </row>
    <row r="42" spans="1:15">
      <c r="A42" s="44">
        <v>2133821120</v>
      </c>
      <c r="B42" s="45">
        <f>VLOOKUP($A42,'NG-Jan-Bill'!$A$15:$X$96,18)</f>
        <v>180.66</v>
      </c>
      <c r="C42" s="45">
        <f>VLOOKUP($A42,'NG-Feb-Bill'!$A$15:$X$96,18)</f>
        <v>136.04</v>
      </c>
      <c r="D42" s="45">
        <f>VLOOKUP($A42,'NG_Mar-Bill'!$A$15:$X$96,18)</f>
        <v>136.38999999999999</v>
      </c>
      <c r="E42" s="45">
        <f>VLOOKUP($A42,'NG-Apr-Bill'!$A$15:$X$96,18)</f>
        <v>124.5</v>
      </c>
      <c r="F42" s="45">
        <f>VLOOKUP($A42,'NG-May-Bill'!$A$15:$X$96,18)</f>
        <v>52.51</v>
      </c>
      <c r="G42" s="45">
        <f>VLOOKUP($A42,'NG-Jun-Bill'!$A$15:$X$96,18)</f>
        <v>36.479999999999997</v>
      </c>
      <c r="H42" s="45">
        <f>VLOOKUP($A42,'NG-Jul-Bill'!$A$15:$X$96,18)</f>
        <v>33.51</v>
      </c>
      <c r="I42" s="45">
        <f>VLOOKUP($A42,'NG-Aug-Bill'!$A$15:$X$96,18)</f>
        <v>35.630000000000003</v>
      </c>
      <c r="J42" s="45">
        <f>VLOOKUP($A42,'NG-Sept-Bill'!$A$15:$X$96,18)</f>
        <v>34.299999999999997</v>
      </c>
      <c r="K42" s="45">
        <f>VLOOKUP($A42,'NG-Oct-Bill'!$A$15:$X$96,18)</f>
        <v>50.44</v>
      </c>
      <c r="L42" s="45">
        <f>VLOOKUP($A42,'NG-Nov-Bill'!$A$15:$X$96,18)</f>
        <v>30.29</v>
      </c>
      <c r="M42" s="45">
        <f>VLOOKUP($A42,'NG-Dec-Bill'!$A$15:$X$96,18)</f>
        <v>92.7</v>
      </c>
      <c r="O42" s="45">
        <f t="shared" si="0"/>
        <v>943.44999999999982</v>
      </c>
    </row>
    <row r="43" spans="1:15">
      <c r="A43" s="44">
        <v>2137454018</v>
      </c>
      <c r="B43" s="45">
        <f>VLOOKUP($A43,'NG-Jan-Bill'!$A$15:$X$96,18)</f>
        <v>21.8</v>
      </c>
      <c r="C43" s="45">
        <f>VLOOKUP($A43,'NG-Feb-Bill'!$A$15:$X$96,18)</f>
        <v>21.68</v>
      </c>
      <c r="D43" s="45">
        <f>VLOOKUP($A43,'NG_Mar-Bill'!$A$15:$X$96,18)</f>
        <v>21.61</v>
      </c>
      <c r="E43" s="45">
        <f>VLOOKUP($A43,'NG-Apr-Bill'!$A$15:$X$96,18)</f>
        <v>21.31</v>
      </c>
      <c r="F43" s="45">
        <f>VLOOKUP($A43,'NG-May-Bill'!$A$15:$X$96,18)</f>
        <v>21.33</v>
      </c>
      <c r="G43" s="45">
        <f>VLOOKUP($A43,'NG-Jun-Bill'!$A$15:$X$96,18)</f>
        <v>21.2</v>
      </c>
      <c r="H43" s="45">
        <f>VLOOKUP($A43,'NG-Jul-Bill'!$A$15:$X$96,18)</f>
        <v>21.12</v>
      </c>
      <c r="I43" s="45">
        <f>VLOOKUP($A43,'NG-Aug-Bill'!$A$15:$X$96,18)</f>
        <v>21.26</v>
      </c>
      <c r="J43" s="45">
        <f>VLOOKUP($A43,'NG-Sept-Bill'!$A$15:$X$96,18)</f>
        <v>21.11</v>
      </c>
      <c r="K43" s="45">
        <f>VLOOKUP($A43,'NG-Oct-Bill'!$A$15:$X$96,18)</f>
        <v>21.17</v>
      </c>
      <c r="L43" s="45">
        <f>VLOOKUP($A43,'NG-Nov-Bill'!$A$15:$X$96,18)</f>
        <v>21.2</v>
      </c>
      <c r="M43" s="45">
        <f>VLOOKUP($A43,'NG-Dec-Bill'!$A$15:$X$96,18)</f>
        <v>21.2</v>
      </c>
      <c r="O43" s="45">
        <f t="shared" si="0"/>
        <v>255.99</v>
      </c>
    </row>
    <row r="44" spans="1:15">
      <c r="A44" s="44">
        <v>2217686007</v>
      </c>
      <c r="B44" s="45">
        <f>VLOOKUP($A44,'NG-Jan-Bill'!$A$15:$X$96,18)</f>
        <v>61.04</v>
      </c>
      <c r="C44" s="45">
        <f>VLOOKUP($A44,'NG-Feb-Bill'!$A$15:$X$96,18)</f>
        <v>57.13</v>
      </c>
      <c r="D44" s="45">
        <f>VLOOKUP($A44,'NG_Mar-Bill'!$A$15:$X$96,18)</f>
        <v>54.8</v>
      </c>
      <c r="E44" s="45">
        <f>VLOOKUP($A44,'NG-Apr-Bill'!$A$15:$X$96,18)</f>
        <v>63.78</v>
      </c>
      <c r="F44" s="45">
        <f>VLOOKUP($A44,'NG-May-Bill'!$A$15:$X$96,18)</f>
        <v>62.93</v>
      </c>
      <c r="G44" s="45">
        <f>VLOOKUP($A44,'NG-Jun-Bill'!$A$15:$X$96,18)</f>
        <v>63.23</v>
      </c>
      <c r="H44" s="45">
        <f>VLOOKUP($A44,'NG-Jul-Bill'!$A$15:$X$96,18)</f>
        <v>54.63</v>
      </c>
      <c r="I44" s="45">
        <f>VLOOKUP($A44,'NG-Aug-Bill'!$A$15:$X$96,18)</f>
        <v>60.27</v>
      </c>
      <c r="J44" s="45">
        <f>VLOOKUP($A44,'NG-Sept-Bill'!$A$15:$X$96,18)</f>
        <v>51.84</v>
      </c>
      <c r="K44" s="45">
        <f>VLOOKUP($A44,'NG-Oct-Bill'!$A$15:$X$96,18)</f>
        <v>58.4</v>
      </c>
      <c r="L44" s="45">
        <f>VLOOKUP($A44,'NG-Nov-Bill'!$A$15:$X$96,18)</f>
        <v>51.45</v>
      </c>
      <c r="M44" s="45">
        <f>VLOOKUP($A44,'NG-Dec-Bill'!$A$15:$X$96,18)</f>
        <v>55.21</v>
      </c>
      <c r="O44" s="45">
        <f t="shared" si="0"/>
        <v>694.71</v>
      </c>
    </row>
    <row r="45" spans="1:15">
      <c r="A45" s="44">
        <v>2480127108</v>
      </c>
      <c r="B45" s="45">
        <f>VLOOKUP($A45,'NG-Jan-Bill'!$A$15:$X$96,18)</f>
        <v>43.45</v>
      </c>
      <c r="C45" s="45">
        <f>VLOOKUP($A45,'NG-Feb-Bill'!$A$15:$X$96,18)</f>
        <v>43.83</v>
      </c>
      <c r="D45" s="45">
        <f>VLOOKUP($A45,'NG_Mar-Bill'!$A$15:$X$96,18)</f>
        <v>43.51</v>
      </c>
      <c r="E45" s="45">
        <f>VLOOKUP($A45,'NG-Apr-Bill'!$A$15:$X$96,18)</f>
        <v>43.42</v>
      </c>
      <c r="F45" s="45">
        <f>VLOOKUP($A45,'NG-May-Bill'!$A$15:$X$96,18)</f>
        <v>44.85</v>
      </c>
      <c r="G45" s="45">
        <f>VLOOKUP($A45,'NG-Jun-Bill'!$A$15:$X$96,18)</f>
        <v>44.42</v>
      </c>
      <c r="H45" s="45">
        <f>VLOOKUP($A45,'NG-Jul-Bill'!$A$15:$X$96,18)</f>
        <v>43.95</v>
      </c>
      <c r="I45" s="45">
        <f>VLOOKUP($A45,'NG-Aug-Bill'!$A$15:$X$96,18)</f>
        <v>44.53</v>
      </c>
      <c r="J45" s="45">
        <f>VLOOKUP($A45,'NG-Sept-Bill'!$A$15:$X$96,18)</f>
        <v>44.61</v>
      </c>
      <c r="K45" s="45">
        <f>VLOOKUP($A45,'NG-Oct-Bill'!$A$15:$X$96,18)</f>
        <v>44.76</v>
      </c>
      <c r="L45" s="45">
        <f>VLOOKUP($A45,'NG-Nov-Bill'!$A$15:$X$96,18)</f>
        <v>43.48</v>
      </c>
      <c r="M45" s="45">
        <f>VLOOKUP($A45,'NG-Dec-Bill'!$A$15:$X$96,18)</f>
        <v>44.46</v>
      </c>
      <c r="O45" s="45">
        <f t="shared" si="0"/>
        <v>529.27</v>
      </c>
    </row>
    <row r="46" spans="1:15">
      <c r="A46" s="44">
        <v>2533809113</v>
      </c>
      <c r="B46" s="45">
        <f>VLOOKUP($A46,'NG-Jan-Bill'!$A$15:$X$96,18)</f>
        <v>139.28</v>
      </c>
      <c r="C46" s="45">
        <f>VLOOKUP($A46,'NG-Feb-Bill'!$A$15:$X$96,18)</f>
        <v>101.8</v>
      </c>
      <c r="D46" s="45">
        <f>VLOOKUP($A46,'NG_Mar-Bill'!$A$15:$X$96,18)</f>
        <v>117.63</v>
      </c>
      <c r="E46" s="45">
        <f>VLOOKUP($A46,'NG-Apr-Bill'!$A$15:$X$96,18)</f>
        <v>73.89</v>
      </c>
      <c r="F46" s="45">
        <f>VLOOKUP($A46,'NG-May-Bill'!$A$15:$X$96,18)</f>
        <v>62.08</v>
      </c>
      <c r="G46" s="45">
        <f>VLOOKUP($A46,'NG-Jun-Bill'!$A$15:$X$96,18)</f>
        <v>66.95</v>
      </c>
      <c r="H46" s="45">
        <f>VLOOKUP($A46,'NG-Jul-Bill'!$A$15:$X$96,18)</f>
        <v>72.510000000000005</v>
      </c>
      <c r="I46" s="45">
        <f>VLOOKUP($A46,'NG-Aug-Bill'!$A$15:$X$96,18)</f>
        <v>74.069999999999993</v>
      </c>
      <c r="J46" s="45">
        <f>VLOOKUP($A46,'NG-Sept-Bill'!$A$15:$X$96,18)</f>
        <v>72.760000000000005</v>
      </c>
      <c r="K46" s="45">
        <f>VLOOKUP($A46,'NG-Oct-Bill'!$A$15:$X$96,18)</f>
        <v>75.08</v>
      </c>
      <c r="L46" s="45">
        <f>VLOOKUP($A46,'NG-Nov-Bill'!$A$15:$X$96,18)</f>
        <v>73.81</v>
      </c>
      <c r="M46" s="45">
        <f>VLOOKUP($A46,'NG-Dec-Bill'!$A$15:$X$96,18)</f>
        <v>91.84</v>
      </c>
      <c r="O46" s="45">
        <f t="shared" si="0"/>
        <v>1021.7000000000002</v>
      </c>
    </row>
    <row r="47" spans="1:15">
      <c r="A47" s="44">
        <v>2693810107</v>
      </c>
      <c r="B47" s="45">
        <f>VLOOKUP($A47,'NG-Jan-Bill'!$A$15:$X$96,18)</f>
        <v>666.09</v>
      </c>
      <c r="C47" s="45">
        <f>VLOOKUP($A47,'NG-Feb-Bill'!$A$15:$X$96,18)</f>
        <v>710.28</v>
      </c>
      <c r="D47" s="45">
        <f>VLOOKUP($A47,'NG_Mar-Bill'!$A$15:$X$96,18)</f>
        <v>713.2</v>
      </c>
      <c r="E47" s="45">
        <f>VLOOKUP($A47,'NG-Apr-Bill'!$A$15:$X$96,18)</f>
        <v>635.78</v>
      </c>
      <c r="F47" s="45">
        <f>VLOOKUP($A47,'NG-May-Bill'!$A$15:$X$96,18)</f>
        <v>635.78</v>
      </c>
      <c r="G47" s="45">
        <f>VLOOKUP($A47,'NG-Jun-Bill'!$A$15:$X$96,18)</f>
        <v>340.57</v>
      </c>
      <c r="H47" s="45">
        <f>VLOOKUP($A47,'NG-Jul-Bill'!$A$15:$X$96,18)</f>
        <v>387.5</v>
      </c>
      <c r="I47" s="45">
        <f>VLOOKUP($A47,'NG-Aug-Bill'!$A$15:$X$96,18)</f>
        <v>60.49</v>
      </c>
      <c r="J47" s="45">
        <f>VLOOKUP($A47,'NG-Sept-Bill'!$A$15:$X$96,18)</f>
        <v>60.49</v>
      </c>
      <c r="K47" s="45">
        <f>VLOOKUP($A47,'NG-Oct-Bill'!$A$15:$X$96,18)</f>
        <v>71.459999999999994</v>
      </c>
      <c r="L47" s="45">
        <f>VLOOKUP($A47,'NG-Nov-Bill'!$A$15:$X$96,18)</f>
        <v>71.459999999999994</v>
      </c>
      <c r="M47" s="45">
        <f>VLOOKUP($A47,'NG-Dec-Bill'!$A$15:$X$96,18)</f>
        <v>526.4</v>
      </c>
      <c r="O47" s="45">
        <f t="shared" si="0"/>
        <v>4879.4999999999991</v>
      </c>
    </row>
    <row r="48" spans="1:15">
      <c r="A48" s="44">
        <v>2703112003</v>
      </c>
      <c r="B48" s="45">
        <f>VLOOKUP($A48,'NG-Jan-Bill'!$A$15:$X$96,18)</f>
        <v>85.54</v>
      </c>
      <c r="C48" s="45">
        <f>VLOOKUP($A48,'NG-Feb-Bill'!$A$15:$X$96,18)</f>
        <v>102.45</v>
      </c>
      <c r="D48" s="45">
        <f>VLOOKUP($A48,'NG_Mar-Bill'!$A$15:$X$96,18)</f>
        <v>103.16</v>
      </c>
      <c r="E48" s="45">
        <f>VLOOKUP($A48,'NG-Apr-Bill'!$A$15:$X$96,18)</f>
        <v>105.75</v>
      </c>
      <c r="F48" s="45">
        <f>VLOOKUP($A48,'NG-May-Bill'!$A$15:$X$96,18)</f>
        <v>893.06</v>
      </c>
      <c r="G48" s="45">
        <f>VLOOKUP($A48,'NG-Jun-Bill'!$A$15:$X$96,18)</f>
        <v>867.29</v>
      </c>
      <c r="H48" s="45">
        <f>VLOOKUP($A48,'NG-Jul-Bill'!$A$15:$X$96,18)</f>
        <v>916.44</v>
      </c>
      <c r="I48" s="45">
        <f>VLOOKUP($A48,'NG-Aug-Bill'!$A$15:$X$96,18)</f>
        <v>931.74</v>
      </c>
      <c r="J48" s="45">
        <f>VLOOKUP($A48,'NG-Sept-Bill'!$A$15:$X$96,18)</f>
        <v>865.27</v>
      </c>
      <c r="K48" s="45">
        <f>VLOOKUP($A48,'NG-Oct-Bill'!$A$15:$X$96,18)</f>
        <v>832.58</v>
      </c>
      <c r="L48" s="45">
        <f>VLOOKUP($A48,'NG-Nov-Bill'!$A$15:$X$96,18)</f>
        <v>808.56</v>
      </c>
      <c r="M48" s="45">
        <f>VLOOKUP($A48,'NG-Dec-Bill'!$A$15:$X$96,18)</f>
        <v>106.35</v>
      </c>
      <c r="O48" s="45">
        <f t="shared" si="0"/>
        <v>6618.1900000000005</v>
      </c>
    </row>
    <row r="49" spans="1:15">
      <c r="A49" s="44">
        <v>2773821106</v>
      </c>
      <c r="B49" s="45">
        <f>VLOOKUP($A49,'NG-Jan-Bill'!$A$15:$X$96,18)</f>
        <v>21.02</v>
      </c>
      <c r="C49" s="45">
        <f>VLOOKUP($A49,'NG-Feb-Bill'!$A$15:$X$96,18)</f>
        <v>21.02</v>
      </c>
      <c r="D49" s="45">
        <f>VLOOKUP($A49,'NG_Mar-Bill'!$A$15:$X$96,18)</f>
        <v>21.02</v>
      </c>
      <c r="E49" s="45">
        <f>VLOOKUP($A49,'NG-Apr-Bill'!$A$15:$X$96,18)</f>
        <v>20.62</v>
      </c>
      <c r="F49" s="45">
        <f>VLOOKUP($A49,'NG-May-Bill'!$A$15:$X$96,18)</f>
        <v>20.62</v>
      </c>
      <c r="G49" s="45">
        <f>VLOOKUP($A49,'NG-Jun-Bill'!$A$15:$X$96,18)</f>
        <v>20.62</v>
      </c>
      <c r="H49" s="45">
        <f>VLOOKUP($A49,'NG-Jul-Bill'!$A$15:$X$96,18)</f>
        <v>20.62</v>
      </c>
      <c r="I49" s="45">
        <f>VLOOKUP($A49,'NG-Aug-Bill'!$A$15:$X$96,18)</f>
        <v>20.62</v>
      </c>
      <c r="J49" s="45">
        <f>VLOOKUP($A49,'NG-Sept-Bill'!$A$15:$X$96,18)</f>
        <v>20.62</v>
      </c>
      <c r="K49" s="45">
        <f>VLOOKUP($A49,'NG-Oct-Bill'!$A$15:$X$96,18)</f>
        <v>20.62</v>
      </c>
      <c r="L49" s="45">
        <f>VLOOKUP($A49,'NG-Nov-Bill'!$A$15:$X$96,18)</f>
        <v>20.62</v>
      </c>
      <c r="M49" s="45">
        <f>VLOOKUP($A49,'NG-Dec-Bill'!$A$15:$X$96,18)</f>
        <v>20.62</v>
      </c>
      <c r="O49" s="45">
        <f t="shared" si="0"/>
        <v>248.64000000000004</v>
      </c>
    </row>
    <row r="50" spans="1:15">
      <c r="A50" s="44">
        <v>2856106004</v>
      </c>
      <c r="B50" s="45">
        <f>VLOOKUP($A50,'NG-Jan-Bill'!$A$15:$X$96,18)</f>
        <v>0</v>
      </c>
      <c r="C50" s="45">
        <f>VLOOKUP($A50,'NG-Feb-Bill'!$A$15:$X$96,18)</f>
        <v>0</v>
      </c>
      <c r="D50" s="45">
        <f>VLOOKUP($A50,'NG_Mar-Bill'!$A$15:$X$96,18)</f>
        <v>0</v>
      </c>
      <c r="E50" s="45">
        <f>VLOOKUP($A50,'NG-Apr-Bill'!$A$15:$X$96,18)</f>
        <v>0</v>
      </c>
      <c r="F50" s="45">
        <f>VLOOKUP($A50,'NG-May-Bill'!$A$15:$X$96,18)</f>
        <v>0</v>
      </c>
      <c r="G50" s="45">
        <f>VLOOKUP($A50,'NG-Jun-Bill'!$A$15:$X$96,18)</f>
        <v>0</v>
      </c>
      <c r="H50" s="45">
        <f>VLOOKUP($A50,'NG-Jul-Bill'!$A$15:$X$96,18)</f>
        <v>0</v>
      </c>
      <c r="I50" s="45">
        <f>VLOOKUP($A50,'NG-Aug-Bill'!$A$15:$X$96,18)</f>
        <v>0</v>
      </c>
      <c r="J50" s="45">
        <f>VLOOKUP($A50,'NG-Sept-Bill'!$A$15:$X$96,18)</f>
        <v>0</v>
      </c>
      <c r="K50" s="45">
        <f>VLOOKUP($A50,'NG-Oct-Bill'!$A$15:$X$96,18)</f>
        <v>0</v>
      </c>
      <c r="L50" s="45">
        <f>VLOOKUP($A50,'NG-Nov-Bill'!$A$15:$X$96,18)</f>
        <v>0</v>
      </c>
      <c r="M50" s="45">
        <f>VLOOKUP($A50,'NG-Dec-Bill'!$A$15:$X$96,18)</f>
        <v>0</v>
      </c>
      <c r="O50" s="45">
        <f t="shared" si="0"/>
        <v>0</v>
      </c>
    </row>
    <row r="51" spans="1:15">
      <c r="A51" s="44">
        <v>2860127100</v>
      </c>
      <c r="B51" s="45">
        <f>VLOOKUP($A51,'NG-Jan-Bill'!$A$15:$X$96,18)</f>
        <v>53.41</v>
      </c>
      <c r="C51" s="45">
        <f>VLOOKUP($A51,'NG-Feb-Bill'!$A$15:$X$96,18)</f>
        <v>53.76</v>
      </c>
      <c r="D51" s="45">
        <f>VLOOKUP($A51,'NG_Mar-Bill'!$A$15:$X$96,18)</f>
        <v>53.46</v>
      </c>
      <c r="E51" s="45">
        <f>VLOOKUP($A51,'NG-Apr-Bill'!$A$15:$X$96,18)</f>
        <v>53.36</v>
      </c>
      <c r="F51" s="45">
        <f>VLOOKUP($A51,'NG-May-Bill'!$A$15:$X$96,18)</f>
        <v>55.27</v>
      </c>
      <c r="G51" s="45">
        <f>VLOOKUP($A51,'NG-Jun-Bill'!$A$15:$X$96,18)</f>
        <v>54.86</v>
      </c>
      <c r="H51" s="45">
        <f>VLOOKUP($A51,'NG-Jul-Bill'!$A$15:$X$96,18)</f>
        <v>54.42</v>
      </c>
      <c r="I51" s="45">
        <f>VLOOKUP($A51,'NG-Aug-Bill'!$A$15:$X$96,18)</f>
        <v>54.96</v>
      </c>
      <c r="J51" s="45">
        <f>VLOOKUP($A51,'NG-Sept-Bill'!$A$15:$X$96,18)</f>
        <v>55.04</v>
      </c>
      <c r="K51" s="45">
        <f>VLOOKUP($A51,'NG-Oct-Bill'!$A$15:$X$96,18)</f>
        <v>55.18</v>
      </c>
      <c r="L51" s="45">
        <f>VLOOKUP($A51,'NG-Nov-Bill'!$A$15:$X$96,18)</f>
        <v>53.99</v>
      </c>
      <c r="M51" s="45">
        <f>VLOOKUP($A51,'NG-Dec-Bill'!$A$15:$X$96,18)</f>
        <v>54.9</v>
      </c>
      <c r="O51" s="45">
        <f t="shared" si="0"/>
        <v>652.61</v>
      </c>
    </row>
    <row r="52" spans="1:15">
      <c r="A52" s="44">
        <v>3040127109</v>
      </c>
      <c r="B52" s="45">
        <f>VLOOKUP($A52,'NG-Jan-Bill'!$A$15:$X$96,18)</f>
        <v>55.19</v>
      </c>
      <c r="C52" s="45">
        <f>VLOOKUP($A52,'NG-Feb-Bill'!$A$15:$X$96,18)</f>
        <v>55.58</v>
      </c>
      <c r="D52" s="45">
        <f>VLOOKUP($A52,'NG_Mar-Bill'!$A$15:$X$96,18)</f>
        <v>55.27</v>
      </c>
      <c r="E52" s="45">
        <f>VLOOKUP($A52,'NG-Apr-Bill'!$A$15:$X$96,18)</f>
        <v>55.18</v>
      </c>
      <c r="F52" s="45">
        <f>VLOOKUP($A52,'NG-May-Bill'!$A$15:$X$96,18)</f>
        <v>56.98</v>
      </c>
      <c r="G52" s="45">
        <f>VLOOKUP($A52,'NG-Jun-Bill'!$A$15:$X$96,18)</f>
        <v>56.55</v>
      </c>
      <c r="H52" s="45">
        <f>VLOOKUP($A52,'NG-Jul-Bill'!$A$15:$X$96,18)</f>
        <v>56.08</v>
      </c>
      <c r="I52" s="45">
        <f>VLOOKUP($A52,'NG-Aug-Bill'!$A$15:$X$96,18)</f>
        <v>56.66</v>
      </c>
      <c r="J52" s="45">
        <f>VLOOKUP($A52,'NG-Sept-Bill'!$A$15:$X$96,18)</f>
        <v>56.74</v>
      </c>
      <c r="K52" s="45">
        <f>VLOOKUP($A52,'NG-Oct-Bill'!$A$15:$X$96,18)</f>
        <v>56.9</v>
      </c>
      <c r="L52" s="45">
        <f>VLOOKUP($A52,'NG-Nov-Bill'!$A$15:$X$96,18)</f>
        <v>55.61</v>
      </c>
      <c r="M52" s="45">
        <f>VLOOKUP($A52,'NG-Dec-Bill'!$A$15:$X$96,18)</f>
        <v>56.59</v>
      </c>
      <c r="O52" s="45">
        <f t="shared" si="0"/>
        <v>673.33</v>
      </c>
    </row>
    <row r="53" spans="1:15">
      <c r="A53" s="44">
        <v>3128810107</v>
      </c>
      <c r="B53" s="45">
        <f>VLOOKUP($A53,'NG-Jan-Bill'!$A$15:$X$96,18)</f>
        <v>21.46</v>
      </c>
      <c r="C53" s="45">
        <f>VLOOKUP($A53,'NG-Feb-Bill'!$A$15:$X$96,18)</f>
        <v>21.34</v>
      </c>
      <c r="D53" s="45">
        <f>VLOOKUP($A53,'NG_Mar-Bill'!$A$15:$X$96,18)</f>
        <v>21.4</v>
      </c>
      <c r="E53" s="45">
        <f>VLOOKUP($A53,'NG-Apr-Bill'!$A$15:$X$96,18)</f>
        <v>21.04</v>
      </c>
      <c r="F53" s="45">
        <f>VLOOKUP($A53,'NG-May-Bill'!$A$15:$X$96,18)</f>
        <v>20.93</v>
      </c>
      <c r="G53" s="45">
        <f>VLOOKUP($A53,'NG-Jun-Bill'!$A$15:$X$96,18)</f>
        <v>20.93</v>
      </c>
      <c r="H53" s="45">
        <f>VLOOKUP($A53,'NG-Jul-Bill'!$A$15:$X$96,18)</f>
        <v>20.89</v>
      </c>
      <c r="I53" s="45">
        <f>VLOOKUP($A53,'NG-Aug-Bill'!$A$15:$X$96,18)</f>
        <v>20.91</v>
      </c>
      <c r="J53" s="45">
        <f>VLOOKUP($A53,'NG-Sept-Bill'!$A$15:$X$96,18)</f>
        <v>20.91</v>
      </c>
      <c r="K53" s="45">
        <f>VLOOKUP($A53,'NG-Oct-Bill'!$A$15:$X$96,18)</f>
        <v>20.92</v>
      </c>
      <c r="L53" s="45">
        <f>VLOOKUP($A53,'NG-Nov-Bill'!$A$15:$X$96,18)</f>
        <v>20.89</v>
      </c>
      <c r="M53" s="45">
        <f>VLOOKUP($A53,'NG-Dec-Bill'!$A$15:$X$96,18)</f>
        <v>21.05</v>
      </c>
      <c r="O53" s="45">
        <f t="shared" si="0"/>
        <v>252.67000000000002</v>
      </c>
    </row>
    <row r="54" spans="1:15">
      <c r="A54" s="44">
        <v>3195056004</v>
      </c>
      <c r="B54" s="45">
        <f>VLOOKUP($A54,'NG-Jan-Bill'!$A$15:$X$96,18)</f>
        <v>22.2</v>
      </c>
      <c r="C54" s="45">
        <f>VLOOKUP($A54,'NG-Feb-Bill'!$A$15:$X$96,18)</f>
        <v>22.07</v>
      </c>
      <c r="D54" s="45">
        <f>VLOOKUP($A54,'NG_Mar-Bill'!$A$15:$X$96,18)</f>
        <v>21.96</v>
      </c>
      <c r="E54" s="45">
        <f>VLOOKUP($A54,'NG-Apr-Bill'!$A$15:$X$96,18)</f>
        <v>21.45</v>
      </c>
      <c r="F54" s="45">
        <f>VLOOKUP($A54,'NG-May-Bill'!$A$15:$X$96,18)</f>
        <v>21.25</v>
      </c>
      <c r="G54" s="45">
        <f>VLOOKUP($A54,'NG-Jun-Bill'!$A$15:$X$96,18)</f>
        <v>21.31</v>
      </c>
      <c r="H54" s="45">
        <f>VLOOKUP($A54,'NG-Jul-Bill'!$A$15:$X$96,18)</f>
        <v>21.17</v>
      </c>
      <c r="I54" s="45">
        <f>VLOOKUP($A54,'NG-Aug-Bill'!$A$15:$X$96,18)</f>
        <v>21.41</v>
      </c>
      <c r="J54" s="45">
        <f>VLOOKUP($A54,'NG-Sept-Bill'!$A$15:$X$96,18)</f>
        <v>21.27</v>
      </c>
      <c r="K54" s="45">
        <f>VLOOKUP($A54,'NG-Oct-Bill'!$A$15:$X$96,18)</f>
        <v>21.35</v>
      </c>
      <c r="L54" s="45">
        <f>VLOOKUP($A54,'NG-Nov-Bill'!$A$15:$X$96,18)</f>
        <v>21.32</v>
      </c>
      <c r="M54" s="45">
        <f>VLOOKUP($A54,'NG-Dec-Bill'!$A$15:$X$96,18)</f>
        <v>21.58</v>
      </c>
      <c r="O54" s="45">
        <f t="shared" si="0"/>
        <v>258.33999999999997</v>
      </c>
    </row>
    <row r="55" spans="1:15">
      <c r="A55" s="44">
        <v>3273812135</v>
      </c>
      <c r="B55" s="45">
        <f>VLOOKUP($A55,'NG-Jan-Bill'!$A$15:$X$96,18)</f>
        <v>188.71</v>
      </c>
      <c r="C55" s="45">
        <f>VLOOKUP($A55,'NG-Feb-Bill'!$A$15:$X$96,18)</f>
        <v>131.9</v>
      </c>
      <c r="D55" s="45">
        <f>VLOOKUP($A55,'NG_Mar-Bill'!$A$15:$X$96,18)</f>
        <v>173.24</v>
      </c>
      <c r="E55" s="45">
        <f>VLOOKUP($A55,'NG-Apr-Bill'!$A$15:$X$96,18)</f>
        <v>105.47</v>
      </c>
      <c r="F55" s="45">
        <f>VLOOKUP($A55,'NG-May-Bill'!$A$15:$X$96,18)</f>
        <v>72.11</v>
      </c>
      <c r="G55" s="45">
        <f>VLOOKUP($A55,'NG-Jun-Bill'!$A$15:$X$96,18)</f>
        <v>64.88</v>
      </c>
      <c r="H55" s="45">
        <f>VLOOKUP($A55,'NG-Jul-Bill'!$A$15:$X$96,18)</f>
        <v>56.21</v>
      </c>
      <c r="I55" s="45">
        <f>VLOOKUP($A55,'NG-Aug-Bill'!$A$15:$X$96,18)</f>
        <v>65.73</v>
      </c>
      <c r="J55" s="45">
        <f>VLOOKUP($A55,'NG-Sept-Bill'!$A$15:$X$96,18)</f>
        <v>60.17</v>
      </c>
      <c r="K55" s="45">
        <f>VLOOKUP($A55,'NG-Oct-Bill'!$A$15:$X$96,18)</f>
        <v>70.760000000000005</v>
      </c>
      <c r="L55" s="45">
        <f>VLOOKUP($A55,'NG-Nov-Bill'!$A$15:$X$96,18)</f>
        <v>74.88</v>
      </c>
      <c r="M55" s="45">
        <f>VLOOKUP($A55,'NG-Dec-Bill'!$A$15:$X$96,18)</f>
        <v>130.53</v>
      </c>
      <c r="O55" s="45">
        <f t="shared" si="0"/>
        <v>1194.5899999999999</v>
      </c>
    </row>
    <row r="56" spans="1:15">
      <c r="A56" s="44">
        <v>3293820115</v>
      </c>
      <c r="B56" s="45">
        <f>VLOOKUP($A56,'NG-Jan-Bill'!$A$15:$X$96,18)</f>
        <v>0</v>
      </c>
      <c r="C56" s="45">
        <f>VLOOKUP($A56,'NG-Feb-Bill'!$A$15:$X$96,18)</f>
        <v>0</v>
      </c>
      <c r="D56" s="45">
        <f>VLOOKUP($A56,'NG_Mar-Bill'!$A$15:$X$96,18)</f>
        <v>0</v>
      </c>
      <c r="E56" s="45">
        <f>VLOOKUP($A56,'NG-Apr-Bill'!$A$15:$X$96,18)</f>
        <v>0</v>
      </c>
      <c r="F56" s="45">
        <f>VLOOKUP($A56,'NG-May-Bill'!$A$15:$X$96,18)</f>
        <v>0</v>
      </c>
      <c r="G56" s="45">
        <f>VLOOKUP($A56,'NG-Jun-Bill'!$A$15:$X$96,18)</f>
        <v>0</v>
      </c>
      <c r="H56" s="45">
        <f>VLOOKUP($A56,'NG-Jul-Bill'!$A$15:$X$96,18)</f>
        <v>0</v>
      </c>
      <c r="I56" s="45">
        <f>VLOOKUP($A56,'NG-Aug-Bill'!$A$15:$X$96,18)</f>
        <v>0</v>
      </c>
      <c r="J56" s="45">
        <f>VLOOKUP($A56,'NG-Sept-Bill'!$A$15:$X$96,18)</f>
        <v>0</v>
      </c>
      <c r="K56" s="45">
        <f>VLOOKUP($A56,'NG-Oct-Bill'!$A$15:$X$96,18)</f>
        <v>0</v>
      </c>
      <c r="L56" s="45">
        <f>VLOOKUP($A56,'NG-Nov-Bill'!$A$15:$X$96,18)</f>
        <v>0</v>
      </c>
      <c r="M56" s="45">
        <f>VLOOKUP($A56,'NG-Dec-Bill'!$A$15:$X$96,18)</f>
        <v>0</v>
      </c>
      <c r="O56" s="45">
        <f t="shared" si="0"/>
        <v>0</v>
      </c>
    </row>
    <row r="57" spans="1:15">
      <c r="A57" s="44">
        <v>3448808118</v>
      </c>
      <c r="B57" s="45">
        <f>VLOOKUP($A57,'NG-Jan-Bill'!$A$15:$X$96,18)</f>
        <v>93.72</v>
      </c>
      <c r="C57" s="45">
        <f>VLOOKUP($A57,'NG-Feb-Bill'!$A$15:$X$96,18)</f>
        <v>83.91</v>
      </c>
      <c r="D57" s="45">
        <f>VLOOKUP($A57,'NG_Mar-Bill'!$A$15:$X$96,18)</f>
        <v>81.319999999999993</v>
      </c>
      <c r="E57" s="45">
        <f>VLOOKUP($A57,'NG-Apr-Bill'!$A$15:$X$96,18)</f>
        <v>74.36</v>
      </c>
      <c r="F57" s="45">
        <f>VLOOKUP($A57,'NG-May-Bill'!$A$15:$X$96,18)</f>
        <v>57.28</v>
      </c>
      <c r="G57" s="45">
        <f>VLOOKUP($A57,'NG-Jun-Bill'!$A$15:$X$96,18)</f>
        <v>0</v>
      </c>
      <c r="H57" s="45">
        <f>VLOOKUP($A57,'NG-Jul-Bill'!$A$15:$X$96,18)</f>
        <v>91.76</v>
      </c>
      <c r="I57" s="45">
        <f>VLOOKUP($A57,'NG-Aug-Bill'!$A$15:$X$96,18)</f>
        <v>52.27</v>
      </c>
      <c r="J57" s="45">
        <f>VLOOKUP($A57,'NG-Sept-Bill'!$A$15:$X$96,18)</f>
        <v>52.6</v>
      </c>
      <c r="K57" s="45">
        <f>VLOOKUP($A57,'NG-Oct-Bill'!$A$15:$X$96,18)</f>
        <v>56.48</v>
      </c>
      <c r="L57" s="45">
        <f>VLOOKUP($A57,'NG-Nov-Bill'!$A$15:$X$96,18)</f>
        <v>58.51</v>
      </c>
      <c r="M57" s="45">
        <f>VLOOKUP($A57,'NG-Dec-Bill'!$A$15:$X$96,18)</f>
        <v>72.81</v>
      </c>
      <c r="O57" s="45">
        <f t="shared" si="0"/>
        <v>775.02</v>
      </c>
    </row>
    <row r="58" spans="1:15">
      <c r="A58" s="44">
        <v>3632395006</v>
      </c>
      <c r="B58" s="45">
        <f>VLOOKUP($A58,'NG-Jan-Bill'!$A$15:$X$96,18)</f>
        <v>21.69</v>
      </c>
      <c r="C58" s="45">
        <f>VLOOKUP($A58,'NG-Feb-Bill'!$A$15:$X$96,18)</f>
        <v>21.62</v>
      </c>
      <c r="D58" s="45">
        <f>VLOOKUP($A58,'NG_Mar-Bill'!$A$15:$X$96,18)</f>
        <v>21.69</v>
      </c>
      <c r="E58" s="45">
        <f>VLOOKUP($A58,'NG-Apr-Bill'!$A$15:$X$96,18)</f>
        <v>21.32</v>
      </c>
      <c r="F58" s="45">
        <f>VLOOKUP($A58,'NG-May-Bill'!$A$15:$X$96,18)</f>
        <v>21.19</v>
      </c>
      <c r="G58" s="45">
        <f>VLOOKUP($A58,'NG-Jun-Bill'!$A$15:$X$96,18)</f>
        <v>21.23</v>
      </c>
      <c r="H58" s="45">
        <f>VLOOKUP($A58,'NG-Jul-Bill'!$A$15:$X$96,18)</f>
        <v>21.06</v>
      </c>
      <c r="I58" s="45">
        <f>VLOOKUP($A58,'NG-Aug-Bill'!$A$15:$X$96,18)</f>
        <v>21.14</v>
      </c>
      <c r="J58" s="45">
        <f>VLOOKUP($A58,'NG-Sept-Bill'!$A$15:$X$96,18)</f>
        <v>21.15</v>
      </c>
      <c r="K58" s="45">
        <f>VLOOKUP($A58,'NG-Oct-Bill'!$A$15:$X$96,18)</f>
        <v>21.09</v>
      </c>
      <c r="L58" s="45">
        <f>VLOOKUP($A58,'NG-Nov-Bill'!$A$15:$X$96,18)</f>
        <v>21.12</v>
      </c>
      <c r="M58" s="45">
        <f>VLOOKUP($A58,'NG-Dec-Bill'!$A$15:$X$96,18)</f>
        <v>21.22</v>
      </c>
      <c r="O58" s="45">
        <f t="shared" si="0"/>
        <v>255.52</v>
      </c>
    </row>
    <row r="59" spans="1:15">
      <c r="A59" s="44">
        <v>3753663109</v>
      </c>
      <c r="B59" s="45">
        <f>VLOOKUP($A59,'NG-Jan-Bill'!$A$15:$X$96,18)</f>
        <v>208.93</v>
      </c>
      <c r="C59" s="45">
        <f>VLOOKUP($A59,'NG-Feb-Bill'!$A$15:$X$96,18)</f>
        <v>203.51</v>
      </c>
      <c r="D59" s="45">
        <f>VLOOKUP($A59,'NG_Mar-Bill'!$A$15:$X$96,18)</f>
        <v>200.46</v>
      </c>
      <c r="E59" s="45">
        <f>VLOOKUP($A59,'NG-Apr-Bill'!$A$15:$X$96,18)</f>
        <v>201.17</v>
      </c>
      <c r="F59" s="45">
        <f>VLOOKUP($A59,'NG-May-Bill'!$A$15:$X$96,18)</f>
        <v>201.59</v>
      </c>
      <c r="G59" s="45">
        <f>VLOOKUP($A59,'NG-Jun-Bill'!$A$15:$X$96,18)</f>
        <v>198.07</v>
      </c>
      <c r="H59" s="45">
        <f>VLOOKUP($A59,'NG-Jul-Bill'!$A$15:$X$96,18)</f>
        <v>199.23</v>
      </c>
      <c r="I59" s="45">
        <f>VLOOKUP($A59,'NG-Aug-Bill'!$A$15:$X$96,18)</f>
        <v>200.63</v>
      </c>
      <c r="J59" s="45">
        <f>VLOOKUP($A59,'NG-Sept-Bill'!$A$15:$X$96,18)</f>
        <v>201.69</v>
      </c>
      <c r="K59" s="45">
        <f>VLOOKUP($A59,'NG-Oct-Bill'!$A$15:$X$96,18)</f>
        <v>205.51</v>
      </c>
      <c r="L59" s="45">
        <f>VLOOKUP($A59,'NG-Nov-Bill'!$A$15:$X$96,18)</f>
        <v>205.49</v>
      </c>
      <c r="M59" s="45">
        <f>VLOOKUP($A59,'NG-Dec-Bill'!$A$15:$X$96,18)</f>
        <v>208.28</v>
      </c>
      <c r="O59" s="45">
        <f t="shared" si="0"/>
        <v>2434.5600000000004</v>
      </c>
    </row>
    <row r="60" spans="1:15">
      <c r="A60" s="44">
        <v>3798043001</v>
      </c>
      <c r="B60" s="45">
        <f>VLOOKUP($A60,'NG-Jan-Bill'!$A$15:$X$96,18)</f>
        <v>22.38</v>
      </c>
      <c r="C60" s="45">
        <f>VLOOKUP($A60,'NG-Feb-Bill'!$A$15:$X$96,18)</f>
        <v>22.43</v>
      </c>
      <c r="D60" s="45">
        <f>VLOOKUP($A60,'NG_Mar-Bill'!$A$15:$X$96,18)</f>
        <v>22.46</v>
      </c>
      <c r="E60" s="45">
        <f>VLOOKUP($A60,'NG-Apr-Bill'!$A$15:$X$96,18)</f>
        <v>21.92</v>
      </c>
      <c r="F60" s="45">
        <f>VLOOKUP($A60,'NG-May-Bill'!$A$15:$X$96,18)</f>
        <v>21.84</v>
      </c>
      <c r="G60" s="45">
        <f>VLOOKUP($A60,'NG-Jun-Bill'!$A$15:$X$96,18)</f>
        <v>21.78</v>
      </c>
      <c r="H60" s="45">
        <f>VLOOKUP($A60,'NG-Jul-Bill'!$A$15:$X$96,18)</f>
        <v>21.78</v>
      </c>
      <c r="I60" s="45">
        <f>VLOOKUP($A60,'NG-Aug-Bill'!$A$15:$X$96,18)</f>
        <v>21.76</v>
      </c>
      <c r="J60" s="45">
        <f>VLOOKUP($A60,'NG-Sept-Bill'!$A$15:$X$96,18)</f>
        <v>21.62</v>
      </c>
      <c r="K60" s="45">
        <f>VLOOKUP($A60,'NG-Oct-Bill'!$A$15:$X$96,18)</f>
        <v>21.6</v>
      </c>
      <c r="L60" s="45">
        <f>VLOOKUP($A60,'NG-Nov-Bill'!$A$15:$X$96,18)</f>
        <v>21.71</v>
      </c>
      <c r="M60" s="45">
        <f>VLOOKUP($A60,'NG-Dec-Bill'!$A$15:$X$96,18)</f>
        <v>21.56</v>
      </c>
      <c r="O60" s="45">
        <f t="shared" si="0"/>
        <v>262.83999999999997</v>
      </c>
    </row>
    <row r="61" spans="1:15">
      <c r="A61" s="44">
        <v>3908811104</v>
      </c>
      <c r="B61" s="45">
        <f>VLOOKUP($A61,'NG-Jan-Bill'!$A$15:$X$96,18)</f>
        <v>51.59</v>
      </c>
      <c r="C61" s="45">
        <f>VLOOKUP($A61,'NG-Feb-Bill'!$A$15:$X$96,18)</f>
        <v>44.9</v>
      </c>
      <c r="D61" s="45">
        <f>VLOOKUP($A61,'NG_Mar-Bill'!$A$15:$X$96,18)</f>
        <v>44.89</v>
      </c>
      <c r="E61" s="45">
        <f>VLOOKUP($A61,'NG-Apr-Bill'!$A$15:$X$96,18)</f>
        <v>47.57</v>
      </c>
      <c r="F61" s="45">
        <f>VLOOKUP($A61,'NG-May-Bill'!$A$15:$X$96,18)</f>
        <v>128.21</v>
      </c>
      <c r="G61" s="45">
        <f>VLOOKUP($A61,'NG-Jun-Bill'!$A$15:$X$96,18)</f>
        <v>116.25</v>
      </c>
      <c r="H61" s="45">
        <f>VLOOKUP($A61,'NG-Jul-Bill'!$A$15:$X$96,18)</f>
        <v>131.27000000000001</v>
      </c>
      <c r="I61" s="45">
        <f>VLOOKUP($A61,'NG-Aug-Bill'!$A$15:$X$96,18)</f>
        <v>107.16</v>
      </c>
      <c r="J61" s="45">
        <f>VLOOKUP($A61,'NG-Sept-Bill'!$A$15:$X$96,18)</f>
        <v>71.88</v>
      </c>
      <c r="K61" s="45">
        <f>VLOOKUP($A61,'NG-Oct-Bill'!$A$15:$X$96,18)</f>
        <v>70.09</v>
      </c>
      <c r="L61" s="45">
        <f>VLOOKUP($A61,'NG-Nov-Bill'!$A$15:$X$96,18)</f>
        <v>54.92</v>
      </c>
      <c r="M61" s="45">
        <f>VLOOKUP($A61,'NG-Dec-Bill'!$A$15:$X$96,18)</f>
        <v>27.54</v>
      </c>
      <c r="O61" s="45">
        <f t="shared" si="0"/>
        <v>896.26999999999987</v>
      </c>
    </row>
    <row r="62" spans="1:15">
      <c r="A62" s="44">
        <v>4153807100</v>
      </c>
      <c r="B62" s="45">
        <f>VLOOKUP($A62,'NG-Jan-Bill'!$A$15:$X$96,18)</f>
        <v>65.819999999999993</v>
      </c>
      <c r="C62" s="45">
        <f>VLOOKUP($A62,'NG-Feb-Bill'!$A$15:$X$96,18)</f>
        <v>72.209999999999994</v>
      </c>
      <c r="D62" s="45">
        <f>VLOOKUP($A62,'NG_Mar-Bill'!$A$15:$X$96,18)</f>
        <v>55.14</v>
      </c>
      <c r="E62" s="45">
        <f>VLOOKUP($A62,'NG-Apr-Bill'!$A$15:$X$96,18)</f>
        <v>45.29</v>
      </c>
      <c r="F62" s="45">
        <f>VLOOKUP($A62,'NG-May-Bill'!$A$15:$X$96,18)</f>
        <v>31.72</v>
      </c>
      <c r="G62" s="45">
        <f>VLOOKUP($A62,'NG-Jun-Bill'!$A$15:$X$96,18)</f>
        <v>29.31</v>
      </c>
      <c r="H62" s="45">
        <f>VLOOKUP($A62,'NG-Jul-Bill'!$A$15:$X$96,18)</f>
        <v>32.24</v>
      </c>
      <c r="I62" s="45">
        <f>VLOOKUP($A62,'NG-Aug-Bill'!$A$15:$X$96,18)</f>
        <v>29.54</v>
      </c>
      <c r="J62" s="45">
        <f>VLOOKUP($A62,'NG-Sept-Bill'!$A$15:$X$96,18)</f>
        <v>29.71</v>
      </c>
      <c r="K62" s="45">
        <f>VLOOKUP($A62,'NG-Oct-Bill'!$A$15:$X$96,18)</f>
        <v>28.31</v>
      </c>
      <c r="L62" s="45">
        <f>VLOOKUP($A62,'NG-Nov-Bill'!$A$15:$X$96,18)</f>
        <v>34.97</v>
      </c>
      <c r="M62" s="45">
        <f>VLOOKUP($A62,'NG-Dec-Bill'!$A$15:$X$96,18)</f>
        <v>55.74</v>
      </c>
      <c r="O62" s="45">
        <f t="shared" si="0"/>
        <v>510</v>
      </c>
    </row>
    <row r="63" spans="1:15">
      <c r="A63" s="44">
        <v>4153820112</v>
      </c>
      <c r="B63" s="45">
        <f>VLOOKUP($A63,'NG-Jan-Bill'!$A$15:$X$96,18)</f>
        <v>69.58</v>
      </c>
      <c r="C63" s="45">
        <f>VLOOKUP($A63,'NG-Feb-Bill'!$A$15:$X$96,18)</f>
        <v>85.28</v>
      </c>
      <c r="D63" s="45">
        <f>VLOOKUP($A63,'NG_Mar-Bill'!$A$15:$X$96,18)</f>
        <v>90.49</v>
      </c>
      <c r="E63" s="45">
        <f>VLOOKUP($A63,'NG-Apr-Bill'!$A$15:$X$96,18)</f>
        <v>97.54</v>
      </c>
      <c r="F63" s="45">
        <f>VLOOKUP($A63,'NG-May-Bill'!$A$15:$X$96,18)</f>
        <v>296.27999999999997</v>
      </c>
      <c r="G63" s="45">
        <f>VLOOKUP($A63,'NG-Jun-Bill'!$A$15:$X$96,18)</f>
        <v>419.93</v>
      </c>
      <c r="H63" s="45">
        <f>VLOOKUP($A63,'NG-Jul-Bill'!$A$15:$X$96,18)</f>
        <v>419.93</v>
      </c>
      <c r="I63" s="45">
        <f>VLOOKUP($A63,'NG-Aug-Bill'!$A$15:$X$96,18)</f>
        <v>344.81</v>
      </c>
      <c r="J63" s="45">
        <f>VLOOKUP($A63,'NG-Sept-Bill'!$A$15:$X$96,18)</f>
        <v>365.63</v>
      </c>
      <c r="K63" s="45">
        <f>VLOOKUP($A63,'NG-Oct-Bill'!$A$15:$X$96,18)</f>
        <v>339.25</v>
      </c>
      <c r="L63" s="45">
        <f>VLOOKUP($A63,'NG-Nov-Bill'!$A$15:$X$96,18)</f>
        <v>92.85</v>
      </c>
      <c r="M63" s="45">
        <f>VLOOKUP($A63,'NG-Dec-Bill'!$A$15:$X$96,18)</f>
        <v>89.71</v>
      </c>
      <c r="O63" s="45">
        <f t="shared" si="0"/>
        <v>2711.28</v>
      </c>
    </row>
    <row r="64" spans="1:15">
      <c r="A64" s="44">
        <v>4308810115</v>
      </c>
      <c r="B64" s="45">
        <f>VLOOKUP($A64,'NG-Jan-Bill'!$A$15:$X$96,18)</f>
        <v>140.49</v>
      </c>
      <c r="C64" s="45">
        <f>VLOOKUP($A64,'NG-Feb-Bill'!$A$15:$X$96,18)</f>
        <v>96.51</v>
      </c>
      <c r="D64" s="45">
        <f>VLOOKUP($A64,'NG_Mar-Bill'!$A$15:$X$96,18)</f>
        <v>98.64</v>
      </c>
      <c r="E64" s="45">
        <f>VLOOKUP($A64,'NG-Apr-Bill'!$A$15:$X$96,18)</f>
        <v>108.8</v>
      </c>
      <c r="F64" s="45">
        <f>VLOOKUP($A64,'NG-May-Bill'!$A$15:$X$96,18)</f>
        <v>79.44</v>
      </c>
      <c r="G64" s="45">
        <f>VLOOKUP($A64,'NG-Jun-Bill'!$A$15:$X$96,18)</f>
        <v>99.97</v>
      </c>
      <c r="H64" s="45">
        <f>VLOOKUP($A64,'NG-Jul-Bill'!$A$15:$X$96,18)</f>
        <v>92.8</v>
      </c>
      <c r="I64" s="45">
        <f>VLOOKUP($A64,'NG-Aug-Bill'!$A$15:$X$96,18)</f>
        <v>66.260000000000005</v>
      </c>
      <c r="J64" s="45">
        <f>VLOOKUP($A64,'NG-Sept-Bill'!$A$15:$X$96,18)</f>
        <v>67.87</v>
      </c>
      <c r="K64" s="45">
        <f>VLOOKUP($A64,'NG-Oct-Bill'!$A$15:$X$96,18)</f>
        <v>70.819999999999993</v>
      </c>
      <c r="L64" s="45">
        <f>VLOOKUP($A64,'NG-Nov-Bill'!$A$15:$X$96,18)</f>
        <v>72.06</v>
      </c>
      <c r="M64" s="45">
        <f>VLOOKUP($A64,'NG-Dec-Bill'!$A$15:$X$96,18)</f>
        <v>88.22</v>
      </c>
      <c r="O64" s="45">
        <f t="shared" si="0"/>
        <v>1081.8799999999999</v>
      </c>
    </row>
    <row r="65" spans="1:15">
      <c r="A65" s="44">
        <v>4399122004</v>
      </c>
      <c r="B65" s="45">
        <f>VLOOKUP($A65,'NG-Jan-Bill'!$A$15:$X$96,18)</f>
        <v>0</v>
      </c>
      <c r="C65" s="45">
        <f>VLOOKUP($A65,'NG-Feb-Bill'!$A$15:$X$96,18)</f>
        <v>0</v>
      </c>
      <c r="D65" s="45">
        <f>VLOOKUP($A65,'NG_Mar-Bill'!$A$15:$X$96,18)</f>
        <v>0</v>
      </c>
      <c r="E65" s="45">
        <f>VLOOKUP($A65,'NG-Apr-Bill'!$A$15:$X$96,18)</f>
        <v>0</v>
      </c>
      <c r="F65" s="45">
        <f>VLOOKUP($A65,'NG-May-Bill'!$A$15:$X$96,18)</f>
        <v>0</v>
      </c>
      <c r="G65" s="45">
        <f>VLOOKUP($A65,'NG-Jun-Bill'!$A$15:$X$96,18)</f>
        <v>0</v>
      </c>
      <c r="H65" s="45">
        <f>VLOOKUP($A65,'NG-Jul-Bill'!$A$15:$X$96,18)</f>
        <v>0</v>
      </c>
      <c r="I65" s="45">
        <f>VLOOKUP($A65,'NG-Aug-Bill'!$A$15:$X$96,18)</f>
        <v>0</v>
      </c>
      <c r="J65" s="45">
        <f>VLOOKUP($A65,'NG-Sept-Bill'!$A$15:$X$96,18)</f>
        <v>0</v>
      </c>
      <c r="K65" s="45">
        <f>VLOOKUP($A65,'NG-Oct-Bill'!$A$15:$X$96,18)</f>
        <v>0</v>
      </c>
      <c r="L65" s="45">
        <f>VLOOKUP($A65,'NG-Nov-Bill'!$A$15:$X$96,18)</f>
        <v>0</v>
      </c>
      <c r="M65" s="45">
        <f>VLOOKUP($A65,'NG-Dec-Bill'!$A$15:$X$96,18)</f>
        <v>0</v>
      </c>
      <c r="O65" s="45">
        <f t="shared" si="0"/>
        <v>0</v>
      </c>
    </row>
    <row r="66" spans="1:15">
      <c r="A66" s="44">
        <v>4513814101</v>
      </c>
      <c r="B66" s="45">
        <f>VLOOKUP($A66,'NG-Jan-Bill'!$A$15:$X$96,18)</f>
        <v>179.72</v>
      </c>
      <c r="C66" s="45">
        <f>VLOOKUP($A66,'NG-Feb-Bill'!$A$15:$X$96,18)</f>
        <v>149.22999999999999</v>
      </c>
      <c r="D66" s="45">
        <f>VLOOKUP($A66,'NG_Mar-Bill'!$A$15:$X$96,18)</f>
        <v>168.11</v>
      </c>
      <c r="E66" s="45">
        <f>VLOOKUP($A66,'NG-Apr-Bill'!$A$15:$X$96,18)</f>
        <v>150.85</v>
      </c>
      <c r="F66" s="45">
        <f>VLOOKUP($A66,'NG-May-Bill'!$A$15:$X$96,18)</f>
        <v>131.99</v>
      </c>
      <c r="G66" s="45">
        <f>VLOOKUP($A66,'NG-Jun-Bill'!$A$15:$X$96,18)</f>
        <v>133</v>
      </c>
      <c r="H66" s="45">
        <f>VLOOKUP($A66,'NG-Jul-Bill'!$A$15:$X$96,18)</f>
        <v>141.18</v>
      </c>
      <c r="I66" s="45">
        <f>VLOOKUP($A66,'NG-Aug-Bill'!$A$15:$X$96,18)</f>
        <v>142.63999999999999</v>
      </c>
      <c r="J66" s="45">
        <f>VLOOKUP($A66,'NG-Sept-Bill'!$A$15:$X$96,18)</f>
        <v>136.88</v>
      </c>
      <c r="K66" s="45">
        <f>VLOOKUP($A66,'NG-Oct-Bill'!$A$15:$X$96,18)</f>
        <v>138.77000000000001</v>
      </c>
      <c r="L66" s="45">
        <f>VLOOKUP($A66,'NG-Nov-Bill'!$A$15:$X$96,18)</f>
        <v>129.09</v>
      </c>
      <c r="M66" s="45">
        <f>VLOOKUP($A66,'NG-Dec-Bill'!$A$15:$X$96,18)</f>
        <v>158.86000000000001</v>
      </c>
      <c r="O66" s="45">
        <f t="shared" si="0"/>
        <v>1760.3199999999997</v>
      </c>
    </row>
    <row r="67" spans="1:15">
      <c r="A67" s="44">
        <v>4533881110</v>
      </c>
      <c r="B67" s="45">
        <f>VLOOKUP($A67,'NG-Jan-Bill'!$A$15:$X$96,18)</f>
        <v>27.54</v>
      </c>
      <c r="C67" s="45">
        <f>VLOOKUP($A67,'NG-Feb-Bill'!$A$15:$X$96,18)</f>
        <v>27.01</v>
      </c>
      <c r="D67" s="45">
        <f>VLOOKUP($A67,'NG_Mar-Bill'!$A$15:$X$96,18)</f>
        <v>26.71</v>
      </c>
      <c r="E67" s="45">
        <f>VLOOKUP($A67,'NG-Apr-Bill'!$A$15:$X$96,18)</f>
        <v>27.38</v>
      </c>
      <c r="F67" s="45">
        <f>VLOOKUP($A67,'NG-May-Bill'!$A$15:$X$96,18)</f>
        <v>28.36</v>
      </c>
      <c r="G67" s="45">
        <f>VLOOKUP($A67,'NG-Jun-Bill'!$A$15:$X$96,18)</f>
        <v>27.53</v>
      </c>
      <c r="H67" s="45">
        <f>VLOOKUP($A67,'NG-Jul-Bill'!$A$15:$X$96,18)</f>
        <v>27.74</v>
      </c>
      <c r="I67" s="45">
        <f>VLOOKUP($A67,'NG-Aug-Bill'!$A$15:$X$96,18)</f>
        <v>27.87</v>
      </c>
      <c r="J67" s="45">
        <f>VLOOKUP($A67,'NG-Sept-Bill'!$A$15:$X$96,18)</f>
        <v>27.62</v>
      </c>
      <c r="K67" s="45">
        <f>VLOOKUP($A67,'NG-Oct-Bill'!$A$15:$X$96,18)</f>
        <v>28.06</v>
      </c>
      <c r="L67" s="45">
        <f>VLOOKUP($A67,'NG-Nov-Bill'!$A$15:$X$96,18)</f>
        <v>27.1</v>
      </c>
      <c r="M67" s="45">
        <f>VLOOKUP($A67,'NG-Dec-Bill'!$A$15:$X$96,18)</f>
        <v>27.69</v>
      </c>
      <c r="O67" s="45">
        <f t="shared" si="0"/>
        <v>330.61</v>
      </c>
    </row>
    <row r="68" spans="1:15">
      <c r="A68" s="44">
        <v>4568811105</v>
      </c>
      <c r="B68" s="45">
        <f>VLOOKUP($A68,'NG-Jan-Bill'!$A$15:$X$96,18)</f>
        <v>67.36</v>
      </c>
      <c r="C68" s="45">
        <f>VLOOKUP($A68,'NG-Feb-Bill'!$A$15:$X$96,18)</f>
        <v>68.63</v>
      </c>
      <c r="D68" s="45">
        <f>VLOOKUP($A68,'NG_Mar-Bill'!$A$15:$X$96,18)</f>
        <v>69.38</v>
      </c>
      <c r="E68" s="45">
        <f>VLOOKUP($A68,'NG-Apr-Bill'!$A$15:$X$96,18)</f>
        <v>99.31</v>
      </c>
      <c r="F68" s="45">
        <f>VLOOKUP($A68,'NG-May-Bill'!$A$15:$X$96,18)</f>
        <v>77.34</v>
      </c>
      <c r="G68" s="45">
        <f>VLOOKUP($A68,'NG-Jun-Bill'!$A$15:$X$96,18)</f>
        <v>77.86</v>
      </c>
      <c r="H68" s="45">
        <f>VLOOKUP($A68,'NG-Jul-Bill'!$A$15:$X$96,18)</f>
        <v>71.150000000000006</v>
      </c>
      <c r="I68" s="45">
        <f>VLOOKUP($A68,'NG-Aug-Bill'!$A$15:$X$96,18)</f>
        <v>83.95</v>
      </c>
      <c r="J68" s="45">
        <f>VLOOKUP($A68,'NG-Sept-Bill'!$A$15:$X$96,18)</f>
        <v>74.760000000000005</v>
      </c>
      <c r="K68" s="45">
        <f>VLOOKUP($A68,'NG-Oct-Bill'!$A$15:$X$96,18)</f>
        <v>68.7</v>
      </c>
      <c r="L68" s="45">
        <f>VLOOKUP($A68,'NG-Nov-Bill'!$A$15:$X$96,18)</f>
        <v>53.47</v>
      </c>
      <c r="M68" s="45">
        <f>VLOOKUP($A68,'NG-Dec-Bill'!$A$15:$X$96,18)</f>
        <v>56.3</v>
      </c>
      <c r="O68" s="45">
        <f t="shared" si="0"/>
        <v>868.21</v>
      </c>
    </row>
    <row r="69" spans="1:15">
      <c r="A69" s="44">
        <v>4588811101</v>
      </c>
      <c r="B69" s="45">
        <f>VLOOKUP($A69,'NG-Jan-Bill'!$A$15:$X$96,18)</f>
        <v>23.98</v>
      </c>
      <c r="C69" s="45">
        <f>VLOOKUP($A69,'NG-Feb-Bill'!$A$15:$X$96,18)</f>
        <v>24.06</v>
      </c>
      <c r="D69" s="45">
        <f>VLOOKUP($A69,'NG_Mar-Bill'!$A$15:$X$96,18)</f>
        <v>21.02</v>
      </c>
      <c r="E69" s="45">
        <f>VLOOKUP($A69,'NG-Apr-Bill'!$A$15:$X$96,18)</f>
        <v>23.46</v>
      </c>
      <c r="F69" s="45">
        <f>VLOOKUP($A69,'NG-May-Bill'!$A$15:$X$96,18)</f>
        <v>20.62</v>
      </c>
      <c r="G69" s="45">
        <f>VLOOKUP($A69,'NG-Jun-Bill'!$A$15:$X$96,18)</f>
        <v>23.1</v>
      </c>
      <c r="H69" s="45">
        <f>VLOOKUP($A69,'NG-Jul-Bill'!$A$15:$X$96,18)</f>
        <v>62.88</v>
      </c>
      <c r="I69" s="45">
        <f>VLOOKUP($A69,'NG-Aug-Bill'!$A$15:$X$96,18)</f>
        <v>68.959999999999994</v>
      </c>
      <c r="J69" s="45">
        <f>VLOOKUP($A69,'NG-Sept-Bill'!$A$15:$X$96,18)</f>
        <v>67</v>
      </c>
      <c r="K69" s="45">
        <f>VLOOKUP($A69,'NG-Oct-Bill'!$A$15:$X$96,18)</f>
        <v>202.6</v>
      </c>
      <c r="L69" s="45">
        <f>VLOOKUP($A69,'NG-Nov-Bill'!$A$15:$X$96,18)</f>
        <v>27.29</v>
      </c>
      <c r="M69" s="45">
        <f>VLOOKUP($A69,'NG-Dec-Bill'!$A$15:$X$96,18)</f>
        <v>43.57</v>
      </c>
      <c r="O69" s="45">
        <f t="shared" si="0"/>
        <v>608.54</v>
      </c>
    </row>
    <row r="70" spans="1:15">
      <c r="A70" s="44">
        <v>4794009102</v>
      </c>
      <c r="B70" s="45">
        <f>VLOOKUP($A70,'NG-Jan-Bill'!$A$15:$X$96,18)</f>
        <v>317.88</v>
      </c>
      <c r="C70" s="45">
        <f>VLOOKUP($A70,'NG-Feb-Bill'!$A$15:$X$96,18)</f>
        <v>393.79</v>
      </c>
      <c r="D70" s="45">
        <f>VLOOKUP($A70,'NG_Mar-Bill'!$A$15:$X$96,18)</f>
        <v>426.66</v>
      </c>
      <c r="E70" s="45">
        <f>VLOOKUP($A70,'NG-Apr-Bill'!$A$15:$X$96,18)</f>
        <v>283.64</v>
      </c>
      <c r="F70" s="45">
        <f>VLOOKUP($A70,'NG-May-Bill'!$A$15:$X$96,18)</f>
        <v>273.38</v>
      </c>
      <c r="G70" s="45">
        <f>VLOOKUP($A70,'NG-Jun-Bill'!$A$15:$X$96,18)</f>
        <v>122.62</v>
      </c>
      <c r="H70" s="45">
        <f>VLOOKUP($A70,'NG-Jul-Bill'!$A$15:$X$96,18)</f>
        <v>122.62</v>
      </c>
      <c r="I70" s="45">
        <f>VLOOKUP($A70,'NG-Aug-Bill'!$A$15:$X$96,18)</f>
        <v>98.17</v>
      </c>
      <c r="J70" s="45">
        <f>VLOOKUP($A70,'NG-Sept-Bill'!$A$15:$X$96,18)</f>
        <v>101.3</v>
      </c>
      <c r="K70" s="45">
        <f>VLOOKUP($A70,'NG-Oct-Bill'!$A$15:$X$96,18)</f>
        <v>94.05</v>
      </c>
      <c r="L70" s="45">
        <f>VLOOKUP($A70,'NG-Nov-Bill'!$A$15:$X$96,18)</f>
        <v>106.3</v>
      </c>
      <c r="M70" s="45">
        <f>VLOOKUP($A70,'NG-Dec-Bill'!$A$15:$X$96,18)</f>
        <v>156.99</v>
      </c>
      <c r="O70" s="45">
        <f t="shared" si="0"/>
        <v>2497.4000000000005</v>
      </c>
    </row>
    <row r="71" spans="1:15">
      <c r="A71" s="44">
        <v>5048811100</v>
      </c>
      <c r="B71" s="45">
        <f>VLOOKUP($A71,'NG-Jan-Bill'!$A$15:$X$96,18)</f>
        <v>41.74</v>
      </c>
      <c r="C71" s="45">
        <f>VLOOKUP($A71,'NG-Feb-Bill'!$A$15:$X$96,18)</f>
        <v>38.159999999999997</v>
      </c>
      <c r="D71" s="45">
        <f>VLOOKUP($A71,'NG_Mar-Bill'!$A$15:$X$96,18)</f>
        <v>37.57</v>
      </c>
      <c r="E71" s="45">
        <f>VLOOKUP($A71,'NG-Apr-Bill'!$A$15:$X$96,18)</f>
        <v>36.83</v>
      </c>
      <c r="F71" s="45">
        <f>VLOOKUP($A71,'NG-May-Bill'!$A$15:$X$96,18)</f>
        <v>34.630000000000003</v>
      </c>
      <c r="G71" s="45">
        <f>VLOOKUP($A71,'NG-Jun-Bill'!$A$15:$X$96,18)</f>
        <v>33.56</v>
      </c>
      <c r="H71" s="45">
        <f>VLOOKUP($A71,'NG-Jul-Bill'!$A$15:$X$96,18)</f>
        <v>31.67</v>
      </c>
      <c r="I71" s="45">
        <f>VLOOKUP($A71,'NG-Aug-Bill'!$A$15:$X$96,18)</f>
        <v>33.21</v>
      </c>
      <c r="J71" s="45">
        <f>VLOOKUP($A71,'NG-Sept-Bill'!$A$15:$X$96,18)</f>
        <v>36.04</v>
      </c>
      <c r="K71" s="45">
        <f>VLOOKUP($A71,'NG-Oct-Bill'!$A$15:$X$96,18)</f>
        <v>33.43</v>
      </c>
      <c r="L71" s="45">
        <f>VLOOKUP($A71,'NG-Nov-Bill'!$A$15:$X$96,18)</f>
        <v>32.450000000000003</v>
      </c>
      <c r="M71" s="45">
        <f>VLOOKUP($A71,'NG-Dec-Bill'!$A$15:$X$96,18)</f>
        <v>35.380000000000003</v>
      </c>
      <c r="O71" s="45">
        <f t="shared" si="0"/>
        <v>424.67</v>
      </c>
    </row>
    <row r="72" spans="1:15">
      <c r="A72" s="44">
        <v>5293880104</v>
      </c>
      <c r="B72" s="45">
        <f>VLOOKUP($A72,'NG-Jan-Bill'!$A$15:$X$96,18)</f>
        <v>11693.21</v>
      </c>
      <c r="C72" s="45">
        <f>VLOOKUP($A72,'NG-Feb-Bill'!$A$15:$X$96,18)</f>
        <v>10711.13</v>
      </c>
      <c r="D72" s="45">
        <f>VLOOKUP($A72,'NG_Mar-Bill'!$A$15:$X$96,18)</f>
        <v>10144.39</v>
      </c>
      <c r="E72" s="45">
        <f>VLOOKUP($A72,'NG-Apr-Bill'!$A$15:$X$96,18)</f>
        <v>9887.18</v>
      </c>
      <c r="F72" s="45">
        <f>VLOOKUP($A72,'NG-May-Bill'!$A$15:$X$96,18)</f>
        <v>9700.81</v>
      </c>
      <c r="G72" s="45">
        <f>VLOOKUP($A72,'NG-Jun-Bill'!$A$15:$X$96,18)</f>
        <v>9044.58</v>
      </c>
      <c r="H72" s="45">
        <f>VLOOKUP($A72,'NG-Jul-Bill'!$A$15:$X$96,18)</f>
        <v>9258.5300000000007</v>
      </c>
      <c r="I72" s="45">
        <f>VLOOKUP($A72,'NG-Aug-Bill'!$A$15:$X$96,18)</f>
        <v>9508.4599999999991</v>
      </c>
      <c r="J72" s="45">
        <f>VLOOKUP($A72,'NG-Sept-Bill'!$A$15:$X$96,18)</f>
        <v>9709.85</v>
      </c>
      <c r="K72" s="45">
        <f>VLOOKUP($A72,'NG-Oct-Bill'!$A$15:$X$96,18)</f>
        <v>10404.879999999999</v>
      </c>
      <c r="L72" s="45">
        <f>VLOOKUP($A72,'NG-Nov-Bill'!$A$15:$X$96,18)</f>
        <v>10404.98</v>
      </c>
      <c r="M72" s="45">
        <f>VLOOKUP($A72,'NG-Dec-Bill'!$A$15:$X$96,18)</f>
        <v>10917.06</v>
      </c>
      <c r="O72" s="45">
        <f t="shared" si="0"/>
        <v>121385.06000000001</v>
      </c>
    </row>
    <row r="73" spans="1:15">
      <c r="A73" s="44">
        <v>5333812119</v>
      </c>
      <c r="B73" s="45">
        <f>VLOOKUP($A73,'NG-Jan-Bill'!$A$15:$X$96,18)</f>
        <v>46.4</v>
      </c>
      <c r="C73" s="45">
        <f>VLOOKUP($A73,'NG-Feb-Bill'!$A$15:$X$96,18)</f>
        <v>50.94</v>
      </c>
      <c r="D73" s="45">
        <f>VLOOKUP($A73,'NG_Mar-Bill'!$A$15:$X$96,18)</f>
        <v>46.54</v>
      </c>
      <c r="E73" s="45">
        <f>VLOOKUP($A73,'NG-Apr-Bill'!$A$15:$X$96,18)</f>
        <v>45.57</v>
      </c>
      <c r="F73" s="45">
        <f>VLOOKUP($A73,'NG-May-Bill'!$A$15:$X$96,18)</f>
        <v>40.159999999999997</v>
      </c>
      <c r="G73" s="45">
        <f>VLOOKUP($A73,'NG-Jun-Bill'!$A$15:$X$96,18)</f>
        <v>38.01</v>
      </c>
      <c r="H73" s="45">
        <f>VLOOKUP($A73,'NG-Jul-Bill'!$A$15:$X$96,18)</f>
        <v>36.75</v>
      </c>
      <c r="I73" s="45">
        <f>VLOOKUP($A73,'NG-Aug-Bill'!$A$15:$X$96,18)</f>
        <v>40.06</v>
      </c>
      <c r="J73" s="45">
        <f>VLOOKUP($A73,'NG-Sept-Bill'!$A$15:$X$96,18)</f>
        <v>37.21</v>
      </c>
      <c r="K73" s="45">
        <f>VLOOKUP($A73,'NG-Oct-Bill'!$A$15:$X$96,18)</f>
        <v>41.15</v>
      </c>
      <c r="L73" s="45">
        <f>VLOOKUP($A73,'NG-Nov-Bill'!$A$15:$X$96,18)</f>
        <v>44.58</v>
      </c>
      <c r="M73" s="45">
        <f>VLOOKUP($A73,'NG-Dec-Bill'!$A$15:$X$96,18)</f>
        <v>42.79</v>
      </c>
      <c r="O73" s="45">
        <f t="shared" si="0"/>
        <v>510.15999999999997</v>
      </c>
    </row>
    <row r="74" spans="1:15">
      <c r="A74" s="44">
        <v>5513812108</v>
      </c>
      <c r="B74" s="45">
        <f>VLOOKUP($A74,'NG-Jan-Bill'!$A$15:$X$96,18)</f>
        <v>188.78</v>
      </c>
      <c r="C74" s="45">
        <f>VLOOKUP($A74,'NG-Feb-Bill'!$A$15:$X$96,18)</f>
        <v>227.23</v>
      </c>
      <c r="D74" s="45">
        <f>VLOOKUP($A74,'NG_Mar-Bill'!$A$15:$X$96,18)</f>
        <v>195.69</v>
      </c>
      <c r="E74" s="45">
        <f>VLOOKUP($A74,'NG-Apr-Bill'!$A$15:$X$96,18)</f>
        <v>169.58</v>
      </c>
      <c r="F74" s="45">
        <f>VLOOKUP($A74,'NG-May-Bill'!$A$15:$X$96,18)</f>
        <v>169.17</v>
      </c>
      <c r="G74" s="45">
        <f>VLOOKUP($A74,'NG-Jun-Bill'!$A$15:$X$96,18)</f>
        <v>146</v>
      </c>
      <c r="H74" s="45">
        <f>VLOOKUP($A74,'NG-Jul-Bill'!$A$15:$X$96,18)</f>
        <v>129.13999999999999</v>
      </c>
      <c r="I74" s="45">
        <f>VLOOKUP($A74,'NG-Aug-Bill'!$A$15:$X$96,18)</f>
        <v>168.5</v>
      </c>
      <c r="J74" s="45">
        <f>VLOOKUP($A74,'NG-Sept-Bill'!$A$15:$X$96,18)</f>
        <v>131.38999999999999</v>
      </c>
      <c r="K74" s="45">
        <f>VLOOKUP($A74,'NG-Oct-Bill'!$A$15:$X$96,18)</f>
        <v>191.32</v>
      </c>
      <c r="L74" s="45">
        <f>VLOOKUP($A74,'NG-Nov-Bill'!$A$15:$X$96,18)</f>
        <v>148.88</v>
      </c>
      <c r="M74" s="45">
        <f>VLOOKUP($A74,'NG-Dec-Bill'!$A$15:$X$96,18)</f>
        <v>176.62</v>
      </c>
      <c r="O74" s="45">
        <f t="shared" si="0"/>
        <v>2042.2999999999997</v>
      </c>
    </row>
    <row r="75" spans="1:15">
      <c r="A75" s="44">
        <v>5613808124</v>
      </c>
      <c r="B75" s="45">
        <f>VLOOKUP($A75,'NG-Jan-Bill'!$A$15:$X$96,18)</f>
        <v>21.02</v>
      </c>
      <c r="C75" s="45">
        <f>VLOOKUP($A75,'NG-Feb-Bill'!$A$15:$X$96,18)</f>
        <v>16.82</v>
      </c>
      <c r="D75" s="45">
        <f>VLOOKUP($A75,'NG_Mar-Bill'!$A$15:$X$96,18)</f>
        <v>16.82</v>
      </c>
      <c r="E75" s="45">
        <f>VLOOKUP($A75,'NG-Apr-Bill'!$A$15:$X$96,18)</f>
        <v>23.71</v>
      </c>
      <c r="F75" s="45">
        <f>VLOOKUP($A75,'NG-May-Bill'!$A$15:$X$96,18)</f>
        <v>157.76</v>
      </c>
      <c r="G75" s="45">
        <f>VLOOKUP($A75,'NG-Jun-Bill'!$A$15:$X$96,18)</f>
        <v>44.97</v>
      </c>
      <c r="H75" s="45">
        <f>VLOOKUP($A75,'NG-Jul-Bill'!$A$15:$X$96,18)</f>
        <v>44.14</v>
      </c>
      <c r="I75" s="45">
        <f>VLOOKUP($A75,'NG-Aug-Bill'!$A$15:$X$96,18)</f>
        <v>150.88</v>
      </c>
      <c r="J75" s="45">
        <f>VLOOKUP($A75,'NG-Sept-Bill'!$A$15:$X$96,18)</f>
        <v>143.57</v>
      </c>
      <c r="K75" s="45">
        <f>VLOOKUP($A75,'NG-Oct-Bill'!$A$15:$X$96,18)</f>
        <v>76.62</v>
      </c>
      <c r="L75" s="45">
        <f>VLOOKUP($A75,'NG-Nov-Bill'!$A$15:$X$96,18)</f>
        <v>64.91</v>
      </c>
      <c r="M75" s="45">
        <f>VLOOKUP($A75,'NG-Dec-Bill'!$A$15:$X$96,18)</f>
        <v>35.270000000000003</v>
      </c>
      <c r="O75" s="45">
        <f t="shared" si="0"/>
        <v>796.49</v>
      </c>
    </row>
    <row r="76" spans="1:15">
      <c r="A76" s="44">
        <v>5668811108</v>
      </c>
      <c r="B76" s="45">
        <f>VLOOKUP($A76,'NG-Jan-Bill'!$A$15:$X$96,18)</f>
        <v>33.299999999999997</v>
      </c>
      <c r="C76" s="45">
        <f>VLOOKUP($A76,'NG-Feb-Bill'!$A$15:$X$96,18)</f>
        <v>32.380000000000003</v>
      </c>
      <c r="D76" s="45">
        <f>VLOOKUP($A76,'NG_Mar-Bill'!$A$15:$X$96,18)</f>
        <v>28.76</v>
      </c>
      <c r="E76" s="45">
        <f>VLOOKUP($A76,'NG-Apr-Bill'!$A$15:$X$96,18)</f>
        <v>31.35</v>
      </c>
      <c r="F76" s="45">
        <f>VLOOKUP($A76,'NG-May-Bill'!$A$15:$X$96,18)</f>
        <v>36.26</v>
      </c>
      <c r="G76" s="45">
        <f>VLOOKUP($A76,'NG-Jun-Bill'!$A$15:$X$96,18)</f>
        <v>36.79</v>
      </c>
      <c r="H76" s="45">
        <f>VLOOKUP($A76,'NG-Jul-Bill'!$A$15:$X$96,18)</f>
        <v>34.409999999999997</v>
      </c>
      <c r="I76" s="45">
        <f>VLOOKUP($A76,'NG-Aug-Bill'!$A$15:$X$96,18)</f>
        <v>38.46</v>
      </c>
      <c r="J76" s="45">
        <f>VLOOKUP($A76,'NG-Sept-Bill'!$A$15:$X$96,18)</f>
        <v>33.520000000000003</v>
      </c>
      <c r="K76" s="45">
        <f>VLOOKUP($A76,'NG-Oct-Bill'!$A$15:$X$96,18)</f>
        <v>34.57</v>
      </c>
      <c r="L76" s="45">
        <f>VLOOKUP($A76,'NG-Nov-Bill'!$A$15:$X$96,18)</f>
        <v>32.229999999999997</v>
      </c>
      <c r="M76" s="45">
        <f>VLOOKUP($A76,'NG-Dec-Bill'!$A$15:$X$96,18)</f>
        <v>31.92</v>
      </c>
      <c r="O76" s="45">
        <f t="shared" si="0"/>
        <v>403.95</v>
      </c>
    </row>
    <row r="77" spans="1:15">
      <c r="A77" s="44">
        <v>5748811104</v>
      </c>
      <c r="B77" s="45">
        <f>VLOOKUP($A77,'NG-Jan-Bill'!$A$15:$X$96,18)</f>
        <v>21.96</v>
      </c>
      <c r="C77" s="45">
        <f>VLOOKUP($A77,'NG-Feb-Bill'!$A$15:$X$96,18)</f>
        <v>21.99</v>
      </c>
      <c r="D77" s="45">
        <f>VLOOKUP($A77,'NG_Mar-Bill'!$A$15:$X$96,18)</f>
        <v>21.91</v>
      </c>
      <c r="E77" s="45">
        <f>VLOOKUP($A77,'NG-Apr-Bill'!$A$15:$X$96,18)</f>
        <v>21.32</v>
      </c>
      <c r="F77" s="45">
        <f>VLOOKUP($A77,'NG-May-Bill'!$A$15:$X$96,18)</f>
        <v>21.19</v>
      </c>
      <c r="G77" s="45">
        <f>VLOOKUP($A77,'NG-Jun-Bill'!$A$15:$X$96,18)</f>
        <v>21.1</v>
      </c>
      <c r="H77" s="45">
        <f>VLOOKUP($A77,'NG-Jul-Bill'!$A$15:$X$96,18)</f>
        <v>21.02</v>
      </c>
      <c r="I77" s="45">
        <f>VLOOKUP($A77,'NG-Aug-Bill'!$A$15:$X$96,18)</f>
        <v>21.07</v>
      </c>
      <c r="J77" s="45">
        <f>VLOOKUP($A77,'NG-Sept-Bill'!$A$15:$X$96,18)</f>
        <v>21.15</v>
      </c>
      <c r="K77" s="45">
        <f>VLOOKUP($A77,'NG-Oct-Bill'!$A$15:$X$96,18)</f>
        <v>21.16</v>
      </c>
      <c r="L77" s="45">
        <f>VLOOKUP($A77,'NG-Nov-Bill'!$A$15:$X$96,18)</f>
        <v>21.3</v>
      </c>
      <c r="M77" s="45">
        <f>VLOOKUP($A77,'NG-Dec-Bill'!$A$15:$X$96,18)</f>
        <v>21.45</v>
      </c>
      <c r="O77" s="45">
        <f t="shared" si="0"/>
        <v>256.62</v>
      </c>
    </row>
    <row r="78" spans="1:15">
      <c r="A78" s="44">
        <v>5828811100</v>
      </c>
      <c r="B78" s="45">
        <f>VLOOKUP($A78,'NG-Jan-Bill'!$A$15:$X$96,18)</f>
        <v>21.76</v>
      </c>
      <c r="C78" s="45">
        <f>VLOOKUP($A78,'NG-Feb-Bill'!$A$15:$X$96,18)</f>
        <v>21.71</v>
      </c>
      <c r="D78" s="45">
        <f>VLOOKUP($A78,'NG_Mar-Bill'!$A$15:$X$96,18)</f>
        <v>21.69</v>
      </c>
      <c r="E78" s="45">
        <f>VLOOKUP($A78,'NG-Apr-Bill'!$A$15:$X$96,18)</f>
        <v>21.18</v>
      </c>
      <c r="F78" s="45">
        <f>VLOOKUP($A78,'NG-May-Bill'!$A$15:$X$96,18)</f>
        <v>20.99</v>
      </c>
      <c r="G78" s="45">
        <f>VLOOKUP($A78,'NG-Jun-Bill'!$A$15:$X$96,18)</f>
        <v>20.81</v>
      </c>
      <c r="H78" s="45">
        <f>VLOOKUP($A78,'NG-Jul-Bill'!$A$15:$X$96,18)</f>
        <v>20.62</v>
      </c>
      <c r="I78" s="45">
        <f>VLOOKUP($A78,'NG-Aug-Bill'!$A$15:$X$96,18)</f>
        <v>20.85</v>
      </c>
      <c r="J78" s="45">
        <f>VLOOKUP($A78,'NG-Sept-Bill'!$A$15:$X$96,18)</f>
        <v>20.8</v>
      </c>
      <c r="K78" s="45">
        <f>VLOOKUP($A78,'NG-Oct-Bill'!$A$15:$X$96,18)</f>
        <v>21.16</v>
      </c>
      <c r="L78" s="45">
        <f>VLOOKUP($A78,'NG-Nov-Bill'!$A$15:$X$96,18)</f>
        <v>21.44</v>
      </c>
      <c r="M78" s="45">
        <f>VLOOKUP($A78,'NG-Dec-Bill'!$A$15:$X$96,18)</f>
        <v>21.69</v>
      </c>
      <c r="O78" s="45">
        <f t="shared" si="0"/>
        <v>254.7</v>
      </c>
    </row>
    <row r="79" spans="1:15">
      <c r="A79" s="44">
        <v>5913814119</v>
      </c>
      <c r="B79" s="45">
        <f>VLOOKUP($A79,'NG-Jan-Bill'!$A$15:$X$96,18)</f>
        <v>207.5</v>
      </c>
      <c r="C79" s="45">
        <f>VLOOKUP($A79,'NG-Feb-Bill'!$A$15:$X$96,18)</f>
        <v>288.55</v>
      </c>
      <c r="D79" s="45">
        <f>VLOOKUP($A79,'NG_Mar-Bill'!$A$15:$X$96,18)</f>
        <v>319.60000000000002</v>
      </c>
      <c r="E79" s="45">
        <f>VLOOKUP($A79,'NG-Apr-Bill'!$A$15:$X$96,18)</f>
        <v>182.17</v>
      </c>
      <c r="F79" s="45">
        <f>VLOOKUP($A79,'NG-May-Bill'!$A$15:$X$96,18)</f>
        <v>160.02000000000001</v>
      </c>
      <c r="G79" s="45">
        <f>VLOOKUP($A79,'NG-Jun-Bill'!$A$15:$X$96,18)</f>
        <v>357.28</v>
      </c>
      <c r="H79" s="45">
        <f>VLOOKUP($A79,'NG-Jul-Bill'!$A$15:$X$96,18)</f>
        <v>156.57</v>
      </c>
      <c r="I79" s="45">
        <f>VLOOKUP($A79,'NG-Aug-Bill'!$A$15:$X$96,18)</f>
        <v>176.05</v>
      </c>
      <c r="J79" s="45">
        <f>VLOOKUP($A79,'NG-Sept-Bill'!$A$15:$X$96,18)</f>
        <v>187.14</v>
      </c>
      <c r="K79" s="45">
        <f>VLOOKUP($A79,'NG-Oct-Bill'!$A$15:$X$96,18)</f>
        <v>201.79</v>
      </c>
      <c r="L79" s="45">
        <f>VLOOKUP($A79,'NG-Nov-Bill'!$A$15:$X$96,18)</f>
        <v>168.83</v>
      </c>
      <c r="M79" s="45">
        <f>VLOOKUP($A79,'NG-Dec-Bill'!$A$15:$X$96,18)</f>
        <v>324.35000000000002</v>
      </c>
      <c r="O79" s="45">
        <f t="shared" si="0"/>
        <v>2729.85</v>
      </c>
    </row>
    <row r="80" spans="1:15">
      <c r="A80" s="44">
        <v>5933814115</v>
      </c>
      <c r="B80" s="45">
        <f>VLOOKUP($A80,'NG-Jan-Bill'!$A$15:$X$96,18)</f>
        <v>206.07</v>
      </c>
      <c r="C80" s="45">
        <f>VLOOKUP($A80,'NG-Feb-Bill'!$A$15:$X$96,18)</f>
        <v>207.6</v>
      </c>
      <c r="D80" s="45">
        <f>VLOOKUP($A80,'NG_Mar-Bill'!$A$15:$X$96,18)</f>
        <v>201.29</v>
      </c>
      <c r="E80" s="45">
        <f>VLOOKUP($A80,'NG-Apr-Bill'!$A$15:$X$96,18)</f>
        <v>189.29</v>
      </c>
      <c r="F80" s="45">
        <f>VLOOKUP($A80,'NG-May-Bill'!$A$15:$X$96,18)</f>
        <v>220.66</v>
      </c>
      <c r="G80" s="45">
        <f>VLOOKUP($A80,'NG-Jun-Bill'!$A$15:$X$96,18)</f>
        <v>511.16</v>
      </c>
      <c r="H80" s="45">
        <f>VLOOKUP($A80,'NG-Jul-Bill'!$A$15:$X$96,18)</f>
        <v>432.92</v>
      </c>
      <c r="I80" s="45">
        <f>VLOOKUP($A80,'NG-Aug-Bill'!$A$15:$X$96,18)</f>
        <v>485.83</v>
      </c>
      <c r="J80" s="45">
        <f>VLOOKUP($A80,'NG-Sept-Bill'!$A$15:$X$96,18)</f>
        <v>435.59</v>
      </c>
      <c r="K80" s="45">
        <f>VLOOKUP($A80,'NG-Oct-Bill'!$A$15:$X$96,18)</f>
        <v>97.89</v>
      </c>
      <c r="L80" s="45">
        <f>VLOOKUP($A80,'NG-Nov-Bill'!$A$15:$X$96,18)</f>
        <v>157.47999999999999</v>
      </c>
      <c r="M80" s="45">
        <f>VLOOKUP($A80,'NG-Dec-Bill'!$A$15:$X$96,18)</f>
        <v>183.45</v>
      </c>
      <c r="O80" s="45">
        <f t="shared" ref="O80:O96" si="1">SUM(B80:N80)</f>
        <v>3329.23</v>
      </c>
    </row>
    <row r="81" spans="1:15">
      <c r="A81" s="44">
        <v>6053820112</v>
      </c>
      <c r="B81" s="45">
        <f>VLOOKUP($A81,'NG-Jan-Bill'!$A$15:$X$96,18)</f>
        <v>23.39</v>
      </c>
      <c r="C81" s="45">
        <f>VLOOKUP($A81,'NG-Feb-Bill'!$A$15:$X$96,18)</f>
        <v>23.14</v>
      </c>
      <c r="D81" s="45">
        <f>VLOOKUP($A81,'NG_Mar-Bill'!$A$15:$X$96,18)</f>
        <v>23.1</v>
      </c>
      <c r="E81" s="45">
        <f>VLOOKUP($A81,'NG-Apr-Bill'!$A$15:$X$96,18)</f>
        <v>22.76</v>
      </c>
      <c r="F81" s="45">
        <f>VLOOKUP($A81,'NG-May-Bill'!$A$15:$X$96,18)</f>
        <v>22.46</v>
      </c>
      <c r="G81" s="45">
        <f>VLOOKUP($A81,'NG-Jun-Bill'!$A$15:$X$96,18)</f>
        <v>22.41</v>
      </c>
      <c r="H81" s="45">
        <f>VLOOKUP($A81,'NG-Jul-Bill'!$A$15:$X$96,18)</f>
        <v>22.17</v>
      </c>
      <c r="I81" s="45">
        <f>VLOOKUP($A81,'NG-Aug-Bill'!$A$15:$X$96,18)</f>
        <v>22.48</v>
      </c>
      <c r="J81" s="45">
        <f>VLOOKUP($A81,'NG-Sept-Bill'!$A$15:$X$96,18)</f>
        <v>22.12</v>
      </c>
      <c r="K81" s="45">
        <f>VLOOKUP($A81,'NG-Oct-Bill'!$A$15:$X$96,18)</f>
        <v>22.31</v>
      </c>
      <c r="L81" s="45">
        <f>VLOOKUP($A81,'NG-Nov-Bill'!$A$15:$X$96,18)</f>
        <v>22.16</v>
      </c>
      <c r="M81" s="45">
        <f>VLOOKUP($A81,'NG-Dec-Bill'!$A$15:$X$96,18)</f>
        <v>22.43</v>
      </c>
      <c r="O81" s="45">
        <f t="shared" si="1"/>
        <v>270.93</v>
      </c>
    </row>
    <row r="82" spans="1:15">
      <c r="A82" s="44">
        <v>6173817104</v>
      </c>
      <c r="B82" s="45">
        <f>VLOOKUP($A82,'NG-Jan-Bill'!$A$15:$X$96,18)</f>
        <v>50.45</v>
      </c>
      <c r="C82" s="45">
        <f>VLOOKUP($A82,'NG-Feb-Bill'!$A$15:$X$96,18)</f>
        <v>41.32</v>
      </c>
      <c r="D82" s="45">
        <f>VLOOKUP($A82,'NG_Mar-Bill'!$A$15:$X$96,18)</f>
        <v>40.74</v>
      </c>
      <c r="E82" s="45">
        <f>VLOOKUP($A82,'NG-Apr-Bill'!$A$15:$X$96,18)</f>
        <v>40.950000000000003</v>
      </c>
      <c r="F82" s="45">
        <f>VLOOKUP($A82,'NG-May-Bill'!$A$15:$X$96,18)</f>
        <v>39.090000000000003</v>
      </c>
      <c r="G82" s="45">
        <f>VLOOKUP($A82,'NG-Jun-Bill'!$A$15:$X$96,18)</f>
        <v>44.48</v>
      </c>
      <c r="H82" s="45">
        <f>VLOOKUP($A82,'NG-Jul-Bill'!$A$15:$X$96,18)</f>
        <v>41.69</v>
      </c>
      <c r="I82" s="45">
        <f>VLOOKUP($A82,'NG-Aug-Bill'!$A$15:$X$96,18)</f>
        <v>44.44</v>
      </c>
      <c r="J82" s="45">
        <f>VLOOKUP($A82,'NG-Sept-Bill'!$A$15:$X$96,18)</f>
        <v>41.14</v>
      </c>
      <c r="K82" s="45">
        <f>VLOOKUP($A82,'NG-Oct-Bill'!$A$15:$X$96,18)</f>
        <v>42.68</v>
      </c>
      <c r="L82" s="45">
        <f>VLOOKUP($A82,'NG-Nov-Bill'!$A$15:$X$96,18)</f>
        <v>40.74</v>
      </c>
      <c r="M82" s="45">
        <f>VLOOKUP($A82,'NG-Dec-Bill'!$A$15:$X$96,18)</f>
        <v>44.78</v>
      </c>
      <c r="O82" s="45">
        <f t="shared" si="1"/>
        <v>512.5</v>
      </c>
    </row>
    <row r="83" spans="1:15">
      <c r="A83" s="44">
        <v>6368810106</v>
      </c>
      <c r="B83" s="45">
        <f>VLOOKUP($A83,'NG-Jan-Bill'!$A$15:$X$96,18)</f>
        <v>21.02</v>
      </c>
      <c r="C83" s="45">
        <f>VLOOKUP($A83,'NG-Feb-Bill'!$A$15:$X$96,18)</f>
        <v>21.02</v>
      </c>
      <c r="D83" s="45">
        <f>VLOOKUP($A83,'NG_Mar-Bill'!$A$15:$X$96,18)</f>
        <v>21.02</v>
      </c>
      <c r="E83" s="45">
        <f>VLOOKUP($A83,'NG-Apr-Bill'!$A$15:$X$96,18)</f>
        <v>20.62</v>
      </c>
      <c r="F83" s="45">
        <f>VLOOKUP($A83,'NG-May-Bill'!$A$15:$X$96,18)</f>
        <v>97.87</v>
      </c>
      <c r="G83" s="45">
        <f>VLOOKUP($A83,'NG-Jun-Bill'!$A$15:$X$96,18)</f>
        <v>107.56</v>
      </c>
      <c r="H83" s="45">
        <f>VLOOKUP($A83,'NG-Jul-Bill'!$A$15:$X$96,18)</f>
        <v>160.74</v>
      </c>
      <c r="I83" s="45">
        <f>VLOOKUP($A83,'NG-Aug-Bill'!$A$15:$X$96,18)</f>
        <v>292.08</v>
      </c>
      <c r="J83" s="45">
        <f>VLOOKUP($A83,'NG-Sept-Bill'!$A$15:$X$96,18)</f>
        <v>268.52999999999997</v>
      </c>
      <c r="K83" s="45">
        <f>VLOOKUP($A83,'NG-Oct-Bill'!$A$15:$X$96,18)</f>
        <v>146.44</v>
      </c>
      <c r="L83" s="45">
        <f>VLOOKUP($A83,'NG-Nov-Bill'!$A$15:$X$96,18)</f>
        <v>278.11</v>
      </c>
      <c r="M83" s="45">
        <f>VLOOKUP($A83,'NG-Dec-Bill'!$A$15:$X$96,18)</f>
        <v>80.62</v>
      </c>
      <c r="O83" s="45">
        <f t="shared" si="1"/>
        <v>1515.63</v>
      </c>
    </row>
    <row r="84" spans="1:15">
      <c r="A84" s="44">
        <v>6853819124</v>
      </c>
      <c r="B84" s="45">
        <f>VLOOKUP($A84,'NG-Jan-Bill'!$A$15:$X$96,18)</f>
        <v>30.48</v>
      </c>
      <c r="C84" s="45">
        <f>VLOOKUP($A84,'NG-Feb-Bill'!$A$15:$X$96,18)</f>
        <v>29.34</v>
      </c>
      <c r="D84" s="45">
        <f>VLOOKUP($A84,'NG_Mar-Bill'!$A$15:$X$96,18)</f>
        <v>26.8</v>
      </c>
      <c r="E84" s="45">
        <f>VLOOKUP($A84,'NG-Apr-Bill'!$A$15:$X$96,18)</f>
        <v>37.880000000000003</v>
      </c>
      <c r="F84" s="45">
        <f>VLOOKUP($A84,'NG-May-Bill'!$A$15:$X$96,18)</f>
        <v>82.5</v>
      </c>
      <c r="G84" s="45">
        <f>VLOOKUP($A84,'NG-Jun-Bill'!$A$15:$X$96,18)</f>
        <v>59.23</v>
      </c>
      <c r="H84" s="45">
        <f>VLOOKUP($A84,'NG-Jul-Bill'!$A$15:$X$96,18)</f>
        <v>48.84</v>
      </c>
      <c r="I84" s="45">
        <f>VLOOKUP($A84,'NG-Aug-Bill'!$A$15:$X$96,18)</f>
        <v>45.47</v>
      </c>
      <c r="J84" s="45">
        <f>VLOOKUP($A84,'NG-Sept-Bill'!$A$15:$X$96,18)</f>
        <v>47.11</v>
      </c>
      <c r="K84" s="45">
        <f>VLOOKUP($A84,'NG-Oct-Bill'!$A$15:$X$96,18)</f>
        <v>62.19</v>
      </c>
      <c r="L84" s="45">
        <f>VLOOKUP($A84,'NG-Nov-Bill'!$A$15:$X$96,18)</f>
        <v>54.83</v>
      </c>
      <c r="M84" s="45">
        <f>VLOOKUP($A84,'NG-Dec-Bill'!$A$15:$X$96,18)</f>
        <v>30.01</v>
      </c>
      <c r="O84" s="45">
        <f t="shared" si="1"/>
        <v>554.68000000000006</v>
      </c>
    </row>
    <row r="85" spans="1:15">
      <c r="A85" s="44">
        <v>6857311003</v>
      </c>
      <c r="B85" s="45">
        <f>VLOOKUP($A85,'NG-Jan-Bill'!$A$15:$X$96,18)</f>
        <v>22.11</v>
      </c>
      <c r="C85" s="45">
        <f>VLOOKUP($A85,'NG-Feb-Bill'!$A$15:$X$96,18)</f>
        <v>22.12</v>
      </c>
      <c r="D85" s="45">
        <f>VLOOKUP($A85,'NG_Mar-Bill'!$A$15:$X$96,18)</f>
        <v>21.94</v>
      </c>
      <c r="E85" s="45">
        <f>VLOOKUP($A85,'NG-Apr-Bill'!$A$15:$X$96,18)</f>
        <v>21.74</v>
      </c>
      <c r="F85" s="45">
        <f>VLOOKUP($A85,'NG-May-Bill'!$A$15:$X$96,18)</f>
        <v>21.62</v>
      </c>
      <c r="G85" s="45">
        <f>VLOOKUP($A85,'NG-Jun-Bill'!$A$15:$X$96,18)</f>
        <v>21.78</v>
      </c>
      <c r="H85" s="45">
        <f>VLOOKUP($A85,'NG-Jul-Bill'!$A$15:$X$96,18)</f>
        <v>21.55</v>
      </c>
      <c r="I85" s="45">
        <f>VLOOKUP($A85,'NG-Aug-Bill'!$A$15:$X$96,18)</f>
        <v>21.56</v>
      </c>
      <c r="J85" s="45">
        <f>VLOOKUP($A85,'NG-Sept-Bill'!$A$15:$X$96,18)</f>
        <v>21.54</v>
      </c>
      <c r="K85" s="45">
        <f>VLOOKUP($A85,'NG-Oct-Bill'!$A$15:$X$96,18)</f>
        <v>21.6</v>
      </c>
      <c r="L85" s="45">
        <f>VLOOKUP($A85,'NG-Nov-Bill'!$A$15:$X$96,18)</f>
        <v>21.5</v>
      </c>
      <c r="M85" s="45">
        <f>VLOOKUP($A85,'NG-Dec-Bill'!$A$15:$X$96,18)</f>
        <v>21.63</v>
      </c>
      <c r="O85" s="45">
        <f t="shared" si="1"/>
        <v>260.69</v>
      </c>
    </row>
    <row r="86" spans="1:15">
      <c r="A86" s="44">
        <v>7312015014</v>
      </c>
      <c r="B86" s="45">
        <f>VLOOKUP($A86,'NG-Jan-Bill'!$A$15:$X$96,18)</f>
        <v>27.06</v>
      </c>
      <c r="C86" s="45">
        <f>VLOOKUP($A86,'NG-Feb-Bill'!$A$15:$X$96,18)</f>
        <v>27.02</v>
      </c>
      <c r="D86" s="45">
        <f>VLOOKUP($A86,'NG_Mar-Bill'!$A$15:$X$96,18)</f>
        <v>26.88</v>
      </c>
      <c r="E86" s="45">
        <f>VLOOKUP($A86,'NG-Apr-Bill'!$A$15:$X$96,18)</f>
        <v>26.61</v>
      </c>
      <c r="F86" s="45">
        <f>VLOOKUP($A86,'NG-May-Bill'!$A$15:$X$96,18)</f>
        <v>25.94</v>
      </c>
      <c r="G86" s="45">
        <f>VLOOKUP($A86,'NG-Jun-Bill'!$A$15:$X$96,18)</f>
        <v>26.36</v>
      </c>
      <c r="H86" s="45">
        <f>VLOOKUP($A86,'NG-Jul-Bill'!$A$15:$X$96,18)</f>
        <v>25.23</v>
      </c>
      <c r="I86" s="45">
        <f>VLOOKUP($A86,'NG-Aug-Bill'!$A$15:$X$96,18)</f>
        <v>25.9</v>
      </c>
      <c r="J86" s="45">
        <f>VLOOKUP($A86,'NG-Sept-Bill'!$A$15:$X$96,18)</f>
        <v>25.49</v>
      </c>
      <c r="K86" s="45">
        <f>VLOOKUP($A86,'NG-Oct-Bill'!$A$15:$X$96,18)</f>
        <v>25.03</v>
      </c>
      <c r="L86" s="45">
        <f>VLOOKUP($A86,'NG-Nov-Bill'!$A$15:$X$96,18)</f>
        <v>25.11</v>
      </c>
      <c r="M86" s="45">
        <f>VLOOKUP($A86,'NG-Dec-Bill'!$A$15:$X$96,18)</f>
        <v>25.75</v>
      </c>
      <c r="O86" s="45">
        <f t="shared" si="1"/>
        <v>312.38</v>
      </c>
    </row>
    <row r="87" spans="1:15">
      <c r="A87" s="44">
        <v>8193819106</v>
      </c>
      <c r="B87" s="45">
        <f>VLOOKUP($A87,'NG-Jan-Bill'!$A$15:$X$96,18)</f>
        <v>0</v>
      </c>
      <c r="C87" s="45">
        <f>VLOOKUP($A87,'NG-Feb-Bill'!$A$15:$X$96,18)</f>
        <v>0</v>
      </c>
      <c r="D87" s="45">
        <f>VLOOKUP($A87,'NG_Mar-Bill'!$A$15:$X$96,18)</f>
        <v>0</v>
      </c>
      <c r="E87" s="45">
        <f>VLOOKUP($A87,'NG-Apr-Bill'!$A$15:$X$96,18)</f>
        <v>0</v>
      </c>
      <c r="F87" s="45">
        <f>VLOOKUP($A87,'NG-May-Bill'!$A$15:$X$96,18)</f>
        <v>0</v>
      </c>
      <c r="G87" s="45">
        <f>VLOOKUP($A87,'NG-Jun-Bill'!$A$15:$X$96,18)</f>
        <v>0</v>
      </c>
      <c r="H87" s="45">
        <f>VLOOKUP($A87,'NG-Jul-Bill'!$A$15:$X$96,18)</f>
        <v>0</v>
      </c>
      <c r="I87" s="45">
        <f>VLOOKUP($A87,'NG-Aug-Bill'!$A$15:$X$96,18)</f>
        <v>0</v>
      </c>
      <c r="J87" s="45">
        <f>VLOOKUP($A87,'NG-Sept-Bill'!$A$15:$X$96,18)</f>
        <v>0</v>
      </c>
      <c r="K87" s="45">
        <f>VLOOKUP($A87,'NG-Oct-Bill'!$A$15:$X$96,18)</f>
        <v>0</v>
      </c>
      <c r="L87" s="45">
        <f>VLOOKUP($A87,'NG-Nov-Bill'!$A$15:$X$96,18)</f>
        <v>0</v>
      </c>
      <c r="M87" s="45">
        <f>VLOOKUP($A87,'NG-Dec-Bill'!$A$15:$X$96,18)</f>
        <v>0</v>
      </c>
      <c r="O87" s="45">
        <f t="shared" si="1"/>
        <v>0</v>
      </c>
    </row>
    <row r="88" spans="1:15">
      <c r="A88" s="44">
        <v>8714009102</v>
      </c>
      <c r="B88" s="45">
        <f>VLOOKUP($A88,'NG-Jan-Bill'!$A$15:$X$96,18)</f>
        <v>76.760000000000005</v>
      </c>
      <c r="C88" s="45">
        <f>VLOOKUP($A88,'NG-Feb-Bill'!$A$15:$X$96,18)</f>
        <v>80.33</v>
      </c>
      <c r="D88" s="45">
        <f>VLOOKUP($A88,'NG_Mar-Bill'!$A$15:$X$96,18)</f>
        <v>80.239999999999995</v>
      </c>
      <c r="E88" s="45">
        <f>VLOOKUP($A88,'NG-Apr-Bill'!$A$15:$X$96,18)</f>
        <v>80.709999999999994</v>
      </c>
      <c r="F88" s="45">
        <f>VLOOKUP($A88,'NG-May-Bill'!$A$15:$X$96,18)</f>
        <v>71.400000000000006</v>
      </c>
      <c r="G88" s="45">
        <f>VLOOKUP($A88,'NG-Jun-Bill'!$A$15:$X$96,18)</f>
        <v>62.54</v>
      </c>
      <c r="H88" s="45">
        <f>VLOOKUP($A88,'NG-Jul-Bill'!$A$15:$X$96,18)</f>
        <v>62.54</v>
      </c>
      <c r="I88" s="45">
        <f>VLOOKUP($A88,'NG-Aug-Bill'!$A$15:$X$96,18)</f>
        <v>52.31</v>
      </c>
      <c r="J88" s="45">
        <f>VLOOKUP($A88,'NG-Sept-Bill'!$A$15:$X$96,18)</f>
        <v>52.27</v>
      </c>
      <c r="K88" s="45">
        <f>VLOOKUP($A88,'NG-Oct-Bill'!$A$15:$X$96,18)</f>
        <v>56.98</v>
      </c>
      <c r="L88" s="45">
        <f>VLOOKUP($A88,'NG-Nov-Bill'!$A$15:$X$96,18)</f>
        <v>56.78</v>
      </c>
      <c r="M88" s="45">
        <f>VLOOKUP($A88,'NG-Dec-Bill'!$A$15:$X$96,18)</f>
        <v>54.4</v>
      </c>
      <c r="O88" s="45">
        <f t="shared" si="1"/>
        <v>787.25999999999988</v>
      </c>
    </row>
    <row r="89" spans="1:15">
      <c r="A89" s="44">
        <v>8993882105</v>
      </c>
      <c r="B89" s="45">
        <f>VLOOKUP($A89,'NG-Jan-Bill'!$A$15:$X$96,18)</f>
        <v>99.5</v>
      </c>
      <c r="C89" s="45">
        <f>VLOOKUP($A89,'NG-Feb-Bill'!$A$15:$X$96,18)</f>
        <v>97.01</v>
      </c>
      <c r="D89" s="45">
        <f>VLOOKUP($A89,'NG_Mar-Bill'!$A$15:$X$96,18)</f>
        <v>95.63</v>
      </c>
      <c r="E89" s="45">
        <f>VLOOKUP($A89,'NG-Apr-Bill'!$A$15:$X$96,18)</f>
        <v>95.13</v>
      </c>
      <c r="F89" s="45">
        <f>VLOOKUP($A89,'NG-May-Bill'!$A$15:$X$96,18)</f>
        <v>94.96</v>
      </c>
      <c r="G89" s="45">
        <f>VLOOKUP($A89,'NG-Jun-Bill'!$A$15:$X$96,18)</f>
        <v>93.4</v>
      </c>
      <c r="H89" s="45">
        <f>VLOOKUP($A89,'NG-Jul-Bill'!$A$15:$X$96,18)</f>
        <v>93.93</v>
      </c>
      <c r="I89" s="45">
        <f>VLOOKUP($A89,'NG-Aug-Bill'!$A$15:$X$96,18)</f>
        <v>94.57</v>
      </c>
      <c r="J89" s="45">
        <f>VLOOKUP($A89,'NG-Sept-Bill'!$A$15:$X$96,18)</f>
        <v>95.01</v>
      </c>
      <c r="K89" s="45">
        <f>VLOOKUP($A89,'NG-Oct-Bill'!$A$15:$X$96,18)</f>
        <v>96.77</v>
      </c>
      <c r="L89" s="45">
        <f>VLOOKUP($A89,'NG-Nov-Bill'!$A$15:$X$96,18)</f>
        <v>96.8</v>
      </c>
      <c r="M89" s="45">
        <f>VLOOKUP($A89,'NG-Dec-Bill'!$A$15:$X$96,18)</f>
        <v>98.09</v>
      </c>
      <c r="O89" s="45">
        <f t="shared" si="1"/>
        <v>1150.7999999999997</v>
      </c>
    </row>
    <row r="90" spans="1:15">
      <c r="A90" s="44">
        <v>9308810101</v>
      </c>
      <c r="B90" s="45">
        <f>VLOOKUP($A90,'NG-Jan-Bill'!$A$15:$X$96,18)</f>
        <v>0</v>
      </c>
      <c r="C90" s="45">
        <f>VLOOKUP($A90,'NG-Feb-Bill'!$A$15:$X$96,18)</f>
        <v>0</v>
      </c>
      <c r="D90" s="45">
        <f>VLOOKUP($A90,'NG_Mar-Bill'!$A$15:$X$96,18)</f>
        <v>0</v>
      </c>
      <c r="E90" s="45">
        <f>VLOOKUP($A90,'NG-Apr-Bill'!$A$15:$X$96,18)</f>
        <v>0</v>
      </c>
      <c r="F90" s="45">
        <f>VLOOKUP($A90,'NG-May-Bill'!$A$15:$X$96,18)</f>
        <v>0</v>
      </c>
      <c r="G90" s="45">
        <f>VLOOKUP($A90,'NG-Jun-Bill'!$A$15:$X$96,18)</f>
        <v>0</v>
      </c>
      <c r="H90" s="45">
        <f>VLOOKUP($A90,'NG-Jul-Bill'!$A$15:$X$96,18)</f>
        <v>0</v>
      </c>
      <c r="I90" s="45">
        <f>VLOOKUP($A90,'NG-Aug-Bill'!$A$15:$X$96,18)</f>
        <v>0</v>
      </c>
      <c r="J90" s="45">
        <f>VLOOKUP($A90,'NG-Sept-Bill'!$A$15:$X$96,18)</f>
        <v>0</v>
      </c>
      <c r="K90" s="45">
        <f>VLOOKUP($A90,'NG-Oct-Bill'!$A$15:$X$96,18)</f>
        <v>0</v>
      </c>
      <c r="L90" s="45">
        <f>VLOOKUP($A90,'NG-Nov-Bill'!$A$15:$X$96,18)</f>
        <v>0</v>
      </c>
      <c r="M90" s="45">
        <f>VLOOKUP($A90,'NG-Dec-Bill'!$A$15:$X$96,18)</f>
        <v>0</v>
      </c>
      <c r="O90" s="45">
        <f t="shared" si="1"/>
        <v>0</v>
      </c>
    </row>
    <row r="91" spans="1:15">
      <c r="A91" s="44">
        <v>9428808118</v>
      </c>
      <c r="B91" s="45">
        <f>VLOOKUP($A91,'NG-Jan-Bill'!$A$15:$X$96,18)</f>
        <v>25.35</v>
      </c>
      <c r="C91" s="45">
        <f>VLOOKUP($A91,'NG-Feb-Bill'!$A$15:$X$96,18)</f>
        <v>25.66</v>
      </c>
      <c r="D91" s="45">
        <f>VLOOKUP($A91,'NG_Mar-Bill'!$A$15:$X$96,18)</f>
        <v>22.67</v>
      </c>
      <c r="E91" s="45">
        <f>VLOOKUP($A91,'NG-Apr-Bill'!$A$15:$X$96,18)</f>
        <v>17.350000000000001</v>
      </c>
      <c r="F91" s="45">
        <f>VLOOKUP($A91,'NG-May-Bill'!$A$15:$X$96,18)</f>
        <v>0</v>
      </c>
      <c r="G91" s="45">
        <f>VLOOKUP($A91,'NG-Jun-Bill'!$A$15:$X$96,18)</f>
        <v>0</v>
      </c>
      <c r="H91" s="45">
        <f>VLOOKUP($A91,'NG-Jul-Bill'!$A$15:$X$96,18)</f>
        <v>0</v>
      </c>
      <c r="I91" s="45">
        <f>VLOOKUP($A91,'NG-Aug-Bill'!$A$15:$X$96,18)</f>
        <v>0</v>
      </c>
      <c r="J91" s="45">
        <f>VLOOKUP($A91,'NG-Sept-Bill'!$A$15:$X$96,18)</f>
        <v>0</v>
      </c>
      <c r="K91" s="45">
        <f>VLOOKUP($A91,'NG-Oct-Bill'!$A$15:$X$96,18)</f>
        <v>0</v>
      </c>
      <c r="L91" s="45">
        <f>VLOOKUP($A91,'NG-Nov-Bill'!$A$15:$X$96,18)</f>
        <v>0</v>
      </c>
      <c r="M91" s="45">
        <f>VLOOKUP($A91,'NG-Dec-Bill'!$A$15:$X$96,18)</f>
        <v>0</v>
      </c>
      <c r="O91" s="45">
        <f t="shared" si="1"/>
        <v>91.03</v>
      </c>
    </row>
    <row r="92" spans="1:15">
      <c r="A92" s="44">
        <v>9488810107</v>
      </c>
      <c r="B92" s="45">
        <f>VLOOKUP($A92,'NG-Jan-Bill'!$A$15:$X$96,18)</f>
        <v>228.05</v>
      </c>
      <c r="C92" s="45">
        <f>VLOOKUP($A92,'NG-Feb-Bill'!$A$15:$X$96,18)</f>
        <v>111.98</v>
      </c>
      <c r="D92" s="45">
        <f>VLOOKUP($A92,'NG_Mar-Bill'!$A$15:$X$96,18)</f>
        <v>107.9</v>
      </c>
      <c r="E92" s="45">
        <f>VLOOKUP($A92,'NG-Apr-Bill'!$A$15:$X$96,18)</f>
        <v>253.37</v>
      </c>
      <c r="F92" s="45">
        <f>VLOOKUP($A92,'NG-May-Bill'!$A$15:$X$96,18)</f>
        <v>1918.57</v>
      </c>
      <c r="G92" s="45">
        <f>VLOOKUP($A92,'NG-Jun-Bill'!$A$15:$X$96,18)</f>
        <v>2081.9699999999998</v>
      </c>
      <c r="H92" s="45">
        <f>VLOOKUP($A92,'NG-Jul-Bill'!$A$15:$X$96,18)</f>
        <v>2055.48</v>
      </c>
      <c r="I92" s="45">
        <f>VLOOKUP($A92,'NG-Aug-Bill'!$A$15:$X$96,18)</f>
        <v>0</v>
      </c>
      <c r="J92" s="45">
        <f>VLOOKUP($A92,'NG-Sept-Bill'!$A$15:$X$96,18)</f>
        <v>1947.85</v>
      </c>
      <c r="K92" s="45">
        <f>VLOOKUP($A92,'NG-Oct-Bill'!$A$15:$X$96,18)</f>
        <v>1947.85</v>
      </c>
      <c r="L92" s="45">
        <f>VLOOKUP($A92,'NG-Nov-Bill'!$A$15:$X$96,18)</f>
        <v>1084.8599999999999</v>
      </c>
      <c r="M92" s="45">
        <f>VLOOKUP($A92,'NG-Dec-Bill'!$A$15:$X$96,18)</f>
        <v>1885.55</v>
      </c>
      <c r="O92" s="45">
        <f t="shared" si="1"/>
        <v>13623.43</v>
      </c>
    </row>
    <row r="93" spans="1:15">
      <c r="A93" s="44">
        <v>9529017113</v>
      </c>
      <c r="B93" s="45">
        <f>VLOOKUP($A93,'NG-Jan-Bill'!$A$15:$X$96,18)</f>
        <v>21.02</v>
      </c>
      <c r="C93" s="45">
        <f>VLOOKUP($A93,'NG-Feb-Bill'!$A$15:$X$96,18)</f>
        <v>21.02</v>
      </c>
      <c r="D93" s="45">
        <f>VLOOKUP($A93,'NG_Mar-Bill'!$A$15:$X$96,18)</f>
        <v>21.02</v>
      </c>
      <c r="E93" s="45">
        <f>VLOOKUP($A93,'NG-Apr-Bill'!$A$15:$X$96,18)</f>
        <v>20.62</v>
      </c>
      <c r="F93" s="45">
        <f>VLOOKUP($A93,'NG-May-Bill'!$A$15:$X$96,18)</f>
        <v>21.33</v>
      </c>
      <c r="G93" s="45">
        <f>VLOOKUP($A93,'NG-Jun-Bill'!$A$15:$X$96,18)</f>
        <v>100.96</v>
      </c>
      <c r="H93" s="45">
        <f>VLOOKUP($A93,'NG-Jul-Bill'!$A$15:$X$96,18)</f>
        <v>82.29</v>
      </c>
      <c r="I93" s="45">
        <f>VLOOKUP($A93,'NG-Aug-Bill'!$A$15:$X$96,18)</f>
        <v>87.41</v>
      </c>
      <c r="J93" s="45">
        <f>VLOOKUP($A93,'NG-Sept-Bill'!$A$15:$X$96,18)</f>
        <v>86.77</v>
      </c>
      <c r="K93" s="45">
        <f>VLOOKUP($A93,'NG-Oct-Bill'!$A$15:$X$96,18)</f>
        <v>81.95</v>
      </c>
      <c r="L93" s="45">
        <f>VLOOKUP($A93,'NG-Nov-Bill'!$A$15:$X$96,18)</f>
        <v>63.12</v>
      </c>
      <c r="M93" s="45">
        <f>VLOOKUP($A93,'NG-Dec-Bill'!$A$15:$X$96,18)</f>
        <v>20.62</v>
      </c>
      <c r="O93" s="45">
        <f t="shared" si="1"/>
        <v>628.13</v>
      </c>
    </row>
    <row r="94" spans="1:15">
      <c r="A94" s="44">
        <v>9753819107</v>
      </c>
      <c r="B94" s="45">
        <f>VLOOKUP($A94,'NG-Jan-Bill'!$A$15:$X$96,18)</f>
        <v>672.95</v>
      </c>
      <c r="C94" s="45">
        <f>VLOOKUP($A94,'NG-Feb-Bill'!$A$15:$X$96,18)</f>
        <v>558.61</v>
      </c>
      <c r="D94" s="45">
        <f>VLOOKUP($A94,'NG_Mar-Bill'!$A$15:$X$96,18)</f>
        <v>629.59</v>
      </c>
      <c r="E94" s="45">
        <f>VLOOKUP($A94,'NG-Apr-Bill'!$A$15:$X$96,18)</f>
        <v>575.34</v>
      </c>
      <c r="F94" s="45">
        <f>VLOOKUP($A94,'NG-May-Bill'!$A$15:$X$96,18)</f>
        <v>749.15</v>
      </c>
      <c r="G94" s="45">
        <f>VLOOKUP($A94,'NG-Jun-Bill'!$A$15:$X$96,18)</f>
        <v>810.93</v>
      </c>
      <c r="H94" s="45">
        <f>VLOOKUP($A94,'NG-Jul-Bill'!$A$15:$X$96,18)</f>
        <v>811.89</v>
      </c>
      <c r="I94" s="45">
        <f>VLOOKUP($A94,'NG-Aug-Bill'!$A$15:$X$96,18)</f>
        <v>830.39</v>
      </c>
      <c r="J94" s="45">
        <f>VLOOKUP($A94,'NG-Sept-Bill'!$A$15:$X$96,18)</f>
        <v>784.69</v>
      </c>
      <c r="K94" s="45">
        <f>VLOOKUP($A94,'NG-Oct-Bill'!$A$15:$X$96,18)</f>
        <v>784.69</v>
      </c>
      <c r="L94" s="45">
        <f>VLOOKUP($A94,'NG-Nov-Bill'!$A$15:$X$96,18)</f>
        <v>572.32000000000005</v>
      </c>
      <c r="M94" s="45">
        <f>VLOOKUP($A94,'NG-Dec-Bill'!$A$15:$X$96,18)</f>
        <v>551.26</v>
      </c>
      <c r="O94" s="45">
        <f t="shared" si="1"/>
        <v>8331.8100000000013</v>
      </c>
    </row>
    <row r="95" spans="1:15">
      <c r="A95" s="44">
        <v>9753820119</v>
      </c>
      <c r="B95" s="45">
        <f>VLOOKUP($A95,'NG-Jan-Bill'!$A$15:$X$96,18)</f>
        <v>24.34</v>
      </c>
      <c r="C95" s="45">
        <f>VLOOKUP($A95,'NG-Feb-Bill'!$A$15:$X$96,18)</f>
        <v>23.82</v>
      </c>
      <c r="D95" s="45">
        <f>VLOOKUP($A95,'NG_Mar-Bill'!$A$15:$X$96,18)</f>
        <v>23.83</v>
      </c>
      <c r="E95" s="45">
        <f>VLOOKUP($A95,'NG-Apr-Bill'!$A$15:$X$96,18)</f>
        <v>22.76</v>
      </c>
      <c r="F95" s="45">
        <f>VLOOKUP($A95,'NG-May-Bill'!$A$15:$X$96,18)</f>
        <v>23.21</v>
      </c>
      <c r="G95" s="45">
        <f>VLOOKUP($A95,'NG-Jun-Bill'!$A$15:$X$96,18)</f>
        <v>23.27</v>
      </c>
      <c r="H95" s="45">
        <f>VLOOKUP($A95,'NG-Jul-Bill'!$A$15:$X$96,18)</f>
        <v>22.91</v>
      </c>
      <c r="I95" s="45">
        <f>VLOOKUP($A95,'NG-Aug-Bill'!$A$15:$X$96,18)</f>
        <v>23.28</v>
      </c>
      <c r="J95" s="45">
        <f>VLOOKUP($A95,'NG-Sept-Bill'!$A$15:$X$96,18)</f>
        <v>22.82</v>
      </c>
      <c r="K95" s="45">
        <f>VLOOKUP($A95,'NG-Oct-Bill'!$A$15:$X$96,18)</f>
        <v>22.91</v>
      </c>
      <c r="L95" s="45">
        <f>VLOOKUP($A95,'NG-Nov-Bill'!$A$15:$X$96,18)</f>
        <v>22.78</v>
      </c>
      <c r="M95" s="45">
        <f>VLOOKUP($A95,'NG-Dec-Bill'!$A$15:$X$96,18)</f>
        <v>23.21</v>
      </c>
      <c r="O95" s="45">
        <f t="shared" si="1"/>
        <v>279.14</v>
      </c>
    </row>
    <row r="96" spans="1:15">
      <c r="A96" s="44">
        <v>9953820104</v>
      </c>
      <c r="B96" s="45">
        <f>VLOOKUP($A96,'NG-Jan-Bill'!$A$15:$X$96,18)</f>
        <v>29.88</v>
      </c>
      <c r="C96" s="45">
        <f>VLOOKUP($A96,'NG-Feb-Bill'!$A$15:$X$96,18)</f>
        <v>28.14</v>
      </c>
      <c r="D96" s="45">
        <f>VLOOKUP($A96,'NG_Mar-Bill'!$A$15:$X$96,18)</f>
        <v>28.15</v>
      </c>
      <c r="E96" s="45">
        <f>VLOOKUP($A96,'NG-Apr-Bill'!$A$15:$X$96,18)</f>
        <v>29.45</v>
      </c>
      <c r="F96" s="45">
        <f>VLOOKUP($A96,'NG-May-Bill'!$A$15:$X$96,18)</f>
        <v>33.479999999999997</v>
      </c>
      <c r="G96" s="45">
        <f>VLOOKUP($A96,'NG-Jun-Bill'!$A$15:$X$96,18)</f>
        <v>35.64</v>
      </c>
      <c r="H96" s="45">
        <f>VLOOKUP($A96,'NG-Jul-Bill'!$A$15:$X$96,18)</f>
        <v>36.07</v>
      </c>
      <c r="I96" s="45">
        <f>VLOOKUP($A96,'NG-Aug-Bill'!$A$15:$X$96,18)</f>
        <v>37.14</v>
      </c>
      <c r="J96" s="45">
        <f>VLOOKUP($A96,'NG-Sept-Bill'!$A$15:$X$96,18)</f>
        <v>31.99</v>
      </c>
      <c r="K96" s="45">
        <f>VLOOKUP($A96,'NG-Oct-Bill'!$A$15:$X$96,18)</f>
        <v>31.94</v>
      </c>
      <c r="L96" s="45">
        <f>VLOOKUP($A96,'NG-Nov-Bill'!$A$15:$X$96,18)</f>
        <v>27.53</v>
      </c>
      <c r="M96" s="45">
        <f>VLOOKUP($A96,'NG-Dec-Bill'!$A$15:$X$96,18)</f>
        <v>27.79</v>
      </c>
      <c r="O96" s="45">
        <f t="shared" si="1"/>
        <v>377.2</v>
      </c>
    </row>
    <row r="97" spans="1:13">
      <c r="A97" s="46"/>
      <c r="B97" s="45"/>
      <c r="C97" s="45"/>
      <c r="D97" s="45"/>
      <c r="E97" s="45"/>
      <c r="F97" s="45"/>
      <c r="G97" s="45"/>
      <c r="H97" s="45"/>
      <c r="I97" s="45"/>
      <c r="J97" s="45"/>
      <c r="K97" s="45"/>
      <c r="L97" s="45"/>
      <c r="M97" s="45"/>
    </row>
    <row r="98" spans="1:13">
      <c r="A98" s="47" t="s">
        <v>362</v>
      </c>
      <c r="B98" s="45">
        <f>SUM(B15:B96)</f>
        <v>18747.439999999995</v>
      </c>
      <c r="C98" s="45">
        <f t="shared" ref="C98:M98" si="2">SUM(C15:C96)</f>
        <v>17514.539999999994</v>
      </c>
      <c r="D98" s="45">
        <f t="shared" si="2"/>
        <v>17013.170000000006</v>
      </c>
      <c r="E98" s="45">
        <f t="shared" si="2"/>
        <v>16417.450000000004</v>
      </c>
      <c r="F98" s="45">
        <f t="shared" si="2"/>
        <v>19663.969999999998</v>
      </c>
      <c r="G98" s="45">
        <f t="shared" si="2"/>
        <v>19682.840000000004</v>
      </c>
      <c r="H98" s="45">
        <f t="shared" si="2"/>
        <v>19820.02</v>
      </c>
      <c r="I98" s="45">
        <f t="shared" si="2"/>
        <v>17683.95</v>
      </c>
      <c r="J98" s="45">
        <f t="shared" si="2"/>
        <v>19394.629999999997</v>
      </c>
      <c r="K98" s="45">
        <f t="shared" si="2"/>
        <v>19536.559999999994</v>
      </c>
      <c r="L98" s="45">
        <f t="shared" si="2"/>
        <v>18091.279999999995</v>
      </c>
      <c r="M98" s="45">
        <f t="shared" si="2"/>
        <v>18794.690000000002</v>
      </c>
    </row>
    <row r="99" spans="1:13">
      <c r="B99" s="45"/>
      <c r="C99" s="45"/>
      <c r="D99" s="45"/>
      <c r="E99" s="45"/>
      <c r="F99" s="45"/>
      <c r="G99" s="45"/>
      <c r="H99" s="45"/>
      <c r="I99" s="45"/>
      <c r="J99" s="45"/>
      <c r="K99" s="45"/>
      <c r="L99" s="45"/>
      <c r="M99" s="45"/>
    </row>
  </sheetData>
  <phoneticPr fontId="7" type="noConversion"/>
  <pageMargins left="0.75" right="0.75" top="1" bottom="1" header="0.5" footer="0.5"/>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P96"/>
  <sheetViews>
    <sheetView topLeftCell="A10" workbookViewId="0">
      <pane ySplit="5" topLeftCell="A61" activePane="bottomLeft" state="frozen"/>
      <selection activeCell="A10" sqref="A10"/>
      <selection pane="bottomLeft" activeCell="M87" sqref="M87"/>
    </sheetView>
  </sheetViews>
  <sheetFormatPr baseColWidth="10" defaultColWidth="19.5" defaultRowHeight="14" x14ac:dyDescent="0"/>
  <cols>
    <col min="1" max="1" width="14.83203125" style="43" customWidth="1"/>
    <col min="2" max="13" width="10.1640625" style="43" customWidth="1"/>
    <col min="14" max="14" width="7.1640625" style="43" customWidth="1"/>
    <col min="15" max="15" width="19.33203125" style="43" customWidth="1"/>
    <col min="16" max="16" width="19.5" style="43"/>
    <col min="17" max="16384" width="19.5" style="35"/>
  </cols>
  <sheetData>
    <row r="13" spans="1:15" s="43" customFormat="1">
      <c r="A13" s="48" t="s">
        <v>282</v>
      </c>
    </row>
    <row r="14" spans="1:15" s="43" customFormat="1">
      <c r="A14" s="351" t="s">
        <v>370</v>
      </c>
      <c r="B14" s="37" t="s">
        <v>355</v>
      </c>
      <c r="C14" s="37" t="s">
        <v>356</v>
      </c>
      <c r="D14" s="37" t="s">
        <v>357</v>
      </c>
      <c r="E14" s="37" t="s">
        <v>462</v>
      </c>
      <c r="F14" s="37" t="s">
        <v>463</v>
      </c>
      <c r="G14" s="37" t="s">
        <v>464</v>
      </c>
      <c r="H14" s="37" t="s">
        <v>465</v>
      </c>
      <c r="I14" s="37" t="s">
        <v>466</v>
      </c>
      <c r="J14" s="37" t="s">
        <v>358</v>
      </c>
      <c r="K14" s="37" t="s">
        <v>467</v>
      </c>
      <c r="L14" s="37" t="s">
        <v>468</v>
      </c>
      <c r="M14" s="37" t="s">
        <v>469</v>
      </c>
      <c r="O14" s="37" t="s">
        <v>283</v>
      </c>
    </row>
    <row r="15" spans="1:15" s="43" customFormat="1">
      <c r="A15" s="39">
        <v>143027007</v>
      </c>
      <c r="B15" s="43">
        <f>VLOOKUP($A15,'NG-Jan-Bill'!$A$15:$X$96,23)</f>
        <v>0</v>
      </c>
      <c r="C15" s="43">
        <f>VLOOKUP($A15,'NG-Feb-Bill'!$A$15:$X$96,23)</f>
        <v>0</v>
      </c>
      <c r="D15" s="43">
        <f>VLOOKUP($A15,'NG_Mar-Bill'!$A$15:$X$96,23)</f>
        <v>0</v>
      </c>
      <c r="E15" s="43">
        <f>VLOOKUP($A15,'NG-Apr-Bill'!$A$15:$X$96,23)</f>
        <v>0</v>
      </c>
      <c r="F15" s="43">
        <f>VLOOKUP($A15,'NG-May-Bill'!$A$15:$X$96,23)</f>
        <v>0</v>
      </c>
      <c r="G15" s="43">
        <f>VLOOKUP($A15,'NG-Jun-Bill'!$A$15:$X$96,23)</f>
        <v>0</v>
      </c>
      <c r="H15" s="43">
        <f>VLOOKUP($A15,'NG-Jul-Bill'!$A$15:$X$96,23)</f>
        <v>0</v>
      </c>
      <c r="I15" s="43">
        <f>VLOOKUP($A15,'NG-Aug-Bill'!$A$15:$X$96,23)</f>
        <v>0</v>
      </c>
      <c r="J15" s="43">
        <f>VLOOKUP($A15,'NG-Sept-Bill'!$A$15:$X$96,23)</f>
        <v>0</v>
      </c>
      <c r="K15" s="43">
        <f>VLOOKUP($A15,'NG-Oct-Bill'!$A$15:$X$96,23)</f>
        <v>0</v>
      </c>
      <c r="L15" s="43">
        <f>VLOOKUP($A15,'NG-Nov-Bill'!$A$15:$X$96,23)</f>
        <v>0</v>
      </c>
      <c r="M15" s="43">
        <f>VLOOKUP($A15,'NG-Dec-Bill'!$A$15:$X$96,23)</f>
        <v>0</v>
      </c>
      <c r="O15" s="43">
        <f>SUM(B15:N15)</f>
        <v>0</v>
      </c>
    </row>
    <row r="16" spans="1:15" s="43" customFormat="1">
      <c r="A16" s="39">
        <v>173880101</v>
      </c>
      <c r="B16" s="43">
        <f>VLOOKUP($A16,'NG-Jan-Bill'!$A$15:$X$96,23)</f>
        <v>0</v>
      </c>
      <c r="C16" s="43">
        <f>VLOOKUP($A16,'NG-Feb-Bill'!$A$15:$X$96,23)</f>
        <v>0</v>
      </c>
      <c r="D16" s="43">
        <f>VLOOKUP($A16,'NG_Mar-Bill'!$A$15:$X$96,23)</f>
        <v>0</v>
      </c>
      <c r="E16" s="43">
        <f>VLOOKUP($A16,'NG-Apr-Bill'!$A$15:$X$96,23)</f>
        <v>0</v>
      </c>
      <c r="F16" s="43">
        <f>VLOOKUP($A16,'NG-May-Bill'!$A$15:$X$96,23)</f>
        <v>0</v>
      </c>
      <c r="G16" s="43">
        <f>VLOOKUP($A16,'NG-Jun-Bill'!$A$15:$X$96,23)</f>
        <v>0</v>
      </c>
      <c r="H16" s="43">
        <f>VLOOKUP($A16,'NG-Jul-Bill'!$A$15:$X$96,23)</f>
        <v>0</v>
      </c>
      <c r="I16" s="43">
        <f>VLOOKUP($A16,'NG-Aug-Bill'!$A$15:$X$96,23)</f>
        <v>0</v>
      </c>
      <c r="J16" s="43">
        <f>VLOOKUP($A16,'NG-Sept-Bill'!$A$15:$X$96,23)</f>
        <v>0</v>
      </c>
      <c r="K16" s="43">
        <f>VLOOKUP($A16,'NG-Oct-Bill'!$A$15:$X$96,23)</f>
        <v>0</v>
      </c>
      <c r="L16" s="43">
        <f>VLOOKUP($A16,'NG-Nov-Bill'!$A$15:$X$96,23)</f>
        <v>0</v>
      </c>
      <c r="M16" s="43">
        <f>VLOOKUP($A16,'NG-Dec-Bill'!$A$15:$X$96,23)</f>
        <v>0</v>
      </c>
      <c r="O16" s="43">
        <f t="shared" ref="O16:O79" si="0">SUM(B16:N16)</f>
        <v>0</v>
      </c>
    </row>
    <row r="17" spans="1:15" s="43" customFormat="1">
      <c r="A17" s="39">
        <v>208811116</v>
      </c>
      <c r="B17" s="43">
        <f>VLOOKUP($A17,'NG-Jan-Bill'!$A$15:$X$96,23)</f>
        <v>0</v>
      </c>
      <c r="C17" s="43">
        <f>VLOOKUP($A17,'NG-Feb-Bill'!$A$15:$X$96,23)</f>
        <v>0</v>
      </c>
      <c r="D17" s="43">
        <f>VLOOKUP($A17,'NG_Mar-Bill'!$A$15:$X$96,23)</f>
        <v>0</v>
      </c>
      <c r="E17" s="43">
        <f>VLOOKUP($A17,'NG-Apr-Bill'!$A$15:$X$96,23)</f>
        <v>0</v>
      </c>
      <c r="F17" s="43">
        <f>VLOOKUP($A17,'NG-May-Bill'!$A$15:$X$96,23)</f>
        <v>0</v>
      </c>
      <c r="G17" s="43">
        <f>VLOOKUP($A17,'NG-Jun-Bill'!$A$15:$X$96,23)</f>
        <v>0</v>
      </c>
      <c r="H17" s="43">
        <f>VLOOKUP($A17,'NG-Jul-Bill'!$A$15:$X$96,23)</f>
        <v>0</v>
      </c>
      <c r="I17" s="43">
        <f>VLOOKUP($A17,'NG-Aug-Bill'!$A$15:$X$96,23)</f>
        <v>0</v>
      </c>
      <c r="J17" s="43">
        <f>VLOOKUP($A17,'NG-Sept-Bill'!$A$15:$X$96,23)</f>
        <v>0</v>
      </c>
      <c r="K17" s="43">
        <f>VLOOKUP($A17,'NG-Oct-Bill'!$A$15:$X$96,23)</f>
        <v>0</v>
      </c>
      <c r="L17" s="43">
        <f>VLOOKUP($A17,'NG-Nov-Bill'!$A$15:$X$96,23)</f>
        <v>0</v>
      </c>
      <c r="M17" s="43">
        <f>VLOOKUP($A17,'NG-Dec-Bill'!$A$15:$X$96,23)</f>
        <v>0</v>
      </c>
      <c r="O17" s="43">
        <f t="shared" si="0"/>
        <v>0</v>
      </c>
    </row>
    <row r="18" spans="1:15" s="43" customFormat="1">
      <c r="A18" s="39">
        <v>248811109</v>
      </c>
      <c r="B18" s="43">
        <f>VLOOKUP($A18,'NG-Jan-Bill'!$A$15:$X$96,23)</f>
        <v>925</v>
      </c>
      <c r="C18" s="43">
        <f>VLOOKUP($A18,'NG-Feb-Bill'!$A$15:$X$96,23)</f>
        <v>900</v>
      </c>
      <c r="D18" s="43">
        <f>VLOOKUP($A18,'NG_Mar-Bill'!$A$15:$X$96,23)</f>
        <v>848</v>
      </c>
      <c r="E18" s="43">
        <f>VLOOKUP($A18,'NG-Apr-Bill'!$A$15:$X$96,23)</f>
        <v>679</v>
      </c>
      <c r="F18" s="43">
        <f>VLOOKUP($A18,'NG-May-Bill'!$A$15:$X$96,23)</f>
        <v>273</v>
      </c>
      <c r="G18" s="43">
        <f>VLOOKUP($A18,'NG-Jun-Bill'!$A$15:$X$96,23)</f>
        <v>91</v>
      </c>
      <c r="H18" s="43">
        <f>VLOOKUP($A18,'NG-Jul-Bill'!$A$15:$X$96,23)</f>
        <v>59</v>
      </c>
      <c r="I18" s="43">
        <f>VLOOKUP($A18,'NG-Aug-Bill'!$A$15:$X$96,23)</f>
        <v>63</v>
      </c>
      <c r="J18" s="43">
        <f>VLOOKUP($A18,'NG-Sept-Bill'!$A$15:$X$96,23)</f>
        <v>65</v>
      </c>
      <c r="K18" s="43">
        <f>VLOOKUP($A18,'NG-Oct-Bill'!$A$15:$X$96,23)</f>
        <v>89</v>
      </c>
      <c r="L18" s="43">
        <f>VLOOKUP($A18,'NG-Nov-Bill'!$A$15:$X$96,23)</f>
        <v>276</v>
      </c>
      <c r="M18" s="43">
        <f>VLOOKUP($A18,'NG-Dec-Bill'!$A$15:$X$96,23)</f>
        <v>695</v>
      </c>
      <c r="O18" s="43">
        <f t="shared" si="0"/>
        <v>4963</v>
      </c>
    </row>
    <row r="19" spans="1:15" s="43" customFormat="1">
      <c r="A19" s="39">
        <v>288811101</v>
      </c>
      <c r="B19" s="43">
        <f>VLOOKUP($A19,'NG-Jan-Bill'!$A$15:$X$96,23)</f>
        <v>0</v>
      </c>
      <c r="C19" s="43">
        <f>VLOOKUP($A19,'NG-Feb-Bill'!$A$15:$X$96,23)</f>
        <v>0</v>
      </c>
      <c r="D19" s="43">
        <f>VLOOKUP($A19,'NG_Mar-Bill'!$A$15:$X$96,23)</f>
        <v>0</v>
      </c>
      <c r="E19" s="43">
        <f>VLOOKUP($A19,'NG-Apr-Bill'!$A$15:$X$96,23)</f>
        <v>0</v>
      </c>
      <c r="F19" s="43">
        <f>VLOOKUP($A19,'NG-May-Bill'!$A$15:$X$96,23)</f>
        <v>0</v>
      </c>
      <c r="G19" s="43">
        <f>VLOOKUP($A19,'NG-Jun-Bill'!$A$15:$X$96,23)</f>
        <v>0</v>
      </c>
      <c r="H19" s="43">
        <f>VLOOKUP($A19,'NG-Jul-Bill'!$A$15:$X$96,23)</f>
        <v>0</v>
      </c>
      <c r="I19" s="43">
        <f>VLOOKUP($A19,'NG-Aug-Bill'!$A$15:$X$96,23)</f>
        <v>0</v>
      </c>
      <c r="J19" s="43">
        <f>VLOOKUP($A19,'NG-Sept-Bill'!$A$15:$X$96,23)</f>
        <v>0</v>
      </c>
      <c r="K19" s="43">
        <f>VLOOKUP($A19,'NG-Oct-Bill'!$A$15:$X$96,23)</f>
        <v>0</v>
      </c>
      <c r="L19" s="43">
        <f>VLOOKUP($A19,'NG-Nov-Bill'!$A$15:$X$96,23)</f>
        <v>0</v>
      </c>
      <c r="M19" s="43">
        <f>VLOOKUP($A19,'NG-Dec-Bill'!$A$15:$X$96,23)</f>
        <v>0</v>
      </c>
      <c r="O19" s="43">
        <f t="shared" si="0"/>
        <v>0</v>
      </c>
    </row>
    <row r="20" spans="1:15" s="43" customFormat="1">
      <c r="A20" s="39">
        <v>293879106</v>
      </c>
      <c r="B20" s="43">
        <f>VLOOKUP($A20,'NG-Jan-Bill'!$A$15:$X$96,23)</f>
        <v>0</v>
      </c>
      <c r="C20" s="43">
        <f>VLOOKUP($A20,'NG-Feb-Bill'!$A$15:$X$96,23)</f>
        <v>0</v>
      </c>
      <c r="D20" s="43">
        <f>VLOOKUP($A20,'NG_Mar-Bill'!$A$15:$X$96,23)</f>
        <v>0</v>
      </c>
      <c r="E20" s="43">
        <f>VLOOKUP($A20,'NG-Apr-Bill'!$A$15:$X$96,23)</f>
        <v>0</v>
      </c>
      <c r="F20" s="43">
        <f>VLOOKUP($A20,'NG-May-Bill'!$A$15:$X$96,23)</f>
        <v>0</v>
      </c>
      <c r="G20" s="43">
        <f>VLOOKUP($A20,'NG-Jun-Bill'!$A$15:$X$96,23)</f>
        <v>0</v>
      </c>
      <c r="H20" s="43">
        <f>VLOOKUP($A20,'NG-Jul-Bill'!$A$15:$X$96,23)</f>
        <v>0</v>
      </c>
      <c r="I20" s="43">
        <f>VLOOKUP($A20,'NG-Aug-Bill'!$A$15:$X$96,23)</f>
        <v>0</v>
      </c>
      <c r="J20" s="43">
        <f>VLOOKUP($A20,'NG-Sept-Bill'!$A$15:$X$96,23)</f>
        <v>0</v>
      </c>
      <c r="K20" s="43">
        <f>VLOOKUP($A20,'NG-Oct-Bill'!$A$15:$X$96,23)</f>
        <v>0</v>
      </c>
      <c r="L20" s="43">
        <f>VLOOKUP($A20,'NG-Nov-Bill'!$A$15:$X$96,23)</f>
        <v>0</v>
      </c>
      <c r="M20" s="43">
        <f>VLOOKUP($A20,'NG-Dec-Bill'!$A$15:$X$96,23)</f>
        <v>0</v>
      </c>
      <c r="O20" s="43">
        <f t="shared" si="0"/>
        <v>0</v>
      </c>
    </row>
    <row r="21" spans="1:15" s="43" customFormat="1">
      <c r="A21" s="39">
        <v>308809118</v>
      </c>
      <c r="B21" s="43">
        <f>VLOOKUP($A21,'NG-Jan-Bill'!$A$15:$X$96,23)</f>
        <v>583</v>
      </c>
      <c r="C21" s="43">
        <f>VLOOKUP($A21,'NG-Feb-Bill'!$A$15:$X$96,23)</f>
        <v>599</v>
      </c>
      <c r="D21" s="43">
        <f>VLOOKUP($A21,'NG_Mar-Bill'!$A$15:$X$96,23)</f>
        <v>530</v>
      </c>
      <c r="E21" s="43">
        <f>VLOOKUP($A21,'NG-Apr-Bill'!$A$15:$X$96,23)</f>
        <v>431</v>
      </c>
      <c r="F21" s="43">
        <f>VLOOKUP($A21,'NG-May-Bill'!$A$15:$X$96,23)</f>
        <v>171</v>
      </c>
      <c r="G21" s="43">
        <f>VLOOKUP($A21,'NG-Jun-Bill'!$A$15:$X$96,23)</f>
        <v>69</v>
      </c>
      <c r="H21" s="43">
        <f>VLOOKUP($A21,'NG-Jul-Bill'!$A$15:$X$96,23)</f>
        <v>30</v>
      </c>
      <c r="I21" s="43">
        <f>VLOOKUP($A21,'NG-Aug-Bill'!$A$15:$X$96,23)</f>
        <v>37</v>
      </c>
      <c r="J21" s="43">
        <f>VLOOKUP($A21,'NG-Sept-Bill'!$A$15:$X$96,23)</f>
        <v>36</v>
      </c>
      <c r="K21" s="43">
        <f>VLOOKUP($A21,'NG-Oct-Bill'!$A$15:$X$96,23)</f>
        <v>54</v>
      </c>
      <c r="L21" s="43">
        <f>VLOOKUP($A21,'NG-Nov-Bill'!$A$15:$X$96,23)</f>
        <v>198</v>
      </c>
      <c r="M21" s="43">
        <f>VLOOKUP($A21,'NG-Dec-Bill'!$A$15:$X$96,23)</f>
        <v>487</v>
      </c>
      <c r="O21" s="43">
        <f t="shared" si="0"/>
        <v>3225</v>
      </c>
    </row>
    <row r="22" spans="1:15" s="43" customFormat="1">
      <c r="A22" s="39">
        <v>375074007</v>
      </c>
      <c r="B22" s="43">
        <f>VLOOKUP($A22,'NG-Jan-Bill'!$A$15:$X$96,23)</f>
        <v>0</v>
      </c>
      <c r="C22" s="43">
        <f>VLOOKUP($A22,'NG-Feb-Bill'!$A$15:$X$96,23)</f>
        <v>0</v>
      </c>
      <c r="D22" s="43">
        <f>VLOOKUP($A22,'NG_Mar-Bill'!$A$15:$X$96,23)</f>
        <v>0</v>
      </c>
      <c r="E22" s="43">
        <f>VLOOKUP($A22,'NG-Apr-Bill'!$A$15:$X$96,23)</f>
        <v>0</v>
      </c>
      <c r="F22" s="43">
        <f>VLOOKUP($A22,'NG-May-Bill'!$A$15:$X$96,23)</f>
        <v>0</v>
      </c>
      <c r="G22" s="43">
        <f>VLOOKUP($A22,'NG-Jun-Bill'!$A$15:$X$96,23)</f>
        <v>0</v>
      </c>
      <c r="H22" s="43">
        <f>VLOOKUP($A22,'NG-Jul-Bill'!$A$15:$X$96,23)</f>
        <v>0</v>
      </c>
      <c r="I22" s="43">
        <f>VLOOKUP($A22,'NG-Aug-Bill'!$A$15:$X$96,23)</f>
        <v>0</v>
      </c>
      <c r="J22" s="43">
        <f>VLOOKUP($A22,'NG-Sept-Bill'!$A$15:$X$96,23)</f>
        <v>0</v>
      </c>
      <c r="K22" s="43">
        <f>VLOOKUP($A22,'NG-Oct-Bill'!$A$15:$X$96,23)</f>
        <v>0</v>
      </c>
      <c r="L22" s="43">
        <f>VLOOKUP($A22,'NG-Nov-Bill'!$A$15:$X$96,23)</f>
        <v>0</v>
      </c>
      <c r="M22" s="43">
        <f>VLOOKUP($A22,'NG-Dec-Bill'!$A$15:$X$96,23)</f>
        <v>0</v>
      </c>
      <c r="O22" s="43">
        <f t="shared" si="0"/>
        <v>0</v>
      </c>
    </row>
    <row r="23" spans="1:15" s="43" customFormat="1">
      <c r="A23" s="39">
        <v>783104003</v>
      </c>
      <c r="B23" s="43">
        <f>VLOOKUP($A23,'NG-Jan-Bill'!$A$15:$X$96,23)</f>
        <v>0</v>
      </c>
      <c r="C23" s="43">
        <f>VLOOKUP($A23,'NG-Feb-Bill'!$A$15:$X$96,23)</f>
        <v>0</v>
      </c>
      <c r="D23" s="43">
        <f>VLOOKUP($A23,'NG_Mar-Bill'!$A$15:$X$96,23)</f>
        <v>0</v>
      </c>
      <c r="E23" s="43">
        <f>VLOOKUP($A23,'NG-Apr-Bill'!$A$15:$X$96,23)</f>
        <v>0</v>
      </c>
      <c r="F23" s="43">
        <f>VLOOKUP($A23,'NG-May-Bill'!$A$15:$X$96,23)</f>
        <v>0</v>
      </c>
      <c r="G23" s="43">
        <f>VLOOKUP($A23,'NG-Jun-Bill'!$A$15:$X$96,23)</f>
        <v>0</v>
      </c>
      <c r="H23" s="43">
        <f>VLOOKUP($A23,'NG-Jul-Bill'!$A$15:$X$96,23)</f>
        <v>0</v>
      </c>
      <c r="I23" s="43">
        <f>VLOOKUP($A23,'NG-Aug-Bill'!$A$15:$X$96,23)</f>
        <v>0</v>
      </c>
      <c r="J23" s="43">
        <f>VLOOKUP($A23,'NG-Sept-Bill'!$A$15:$X$96,23)</f>
        <v>0</v>
      </c>
      <c r="K23" s="43">
        <f>VLOOKUP($A23,'NG-Oct-Bill'!$A$15:$X$96,23)</f>
        <v>0</v>
      </c>
      <c r="L23" s="43">
        <f>VLOOKUP($A23,'NG-Nov-Bill'!$A$15:$X$96,23)</f>
        <v>0</v>
      </c>
      <c r="M23" s="43">
        <f>VLOOKUP($A23,'NG-Dec-Bill'!$A$15:$X$96,23)</f>
        <v>0</v>
      </c>
      <c r="O23" s="43">
        <f t="shared" si="0"/>
        <v>0</v>
      </c>
    </row>
    <row r="24" spans="1:15" s="43" customFormat="1">
      <c r="A24" s="39">
        <v>852028007</v>
      </c>
      <c r="B24" s="43">
        <f>VLOOKUP($A24,'NG-Jan-Bill'!$A$15:$X$96,23)</f>
        <v>368</v>
      </c>
      <c r="C24" s="43">
        <f>VLOOKUP($A24,'NG-Feb-Bill'!$A$15:$X$96,23)</f>
        <v>406</v>
      </c>
      <c r="D24" s="43">
        <f>VLOOKUP($A24,'NG_Mar-Bill'!$A$15:$X$96,23)</f>
        <v>314</v>
      </c>
      <c r="E24" s="43">
        <f>VLOOKUP($A24,'NG-Apr-Bill'!$A$15:$X$96,23)</f>
        <v>217</v>
      </c>
      <c r="F24" s="43">
        <f>VLOOKUP($A24,'NG-May-Bill'!$A$15:$X$96,23)</f>
        <v>54</v>
      </c>
      <c r="G24" s="43">
        <f>VLOOKUP($A24,'NG-Jun-Bill'!$A$15:$X$96,23)</f>
        <v>11</v>
      </c>
      <c r="H24" s="43">
        <f>VLOOKUP($A24,'NG-Jul-Bill'!$A$15:$X$96,23)</f>
        <v>1</v>
      </c>
      <c r="I24" s="43">
        <f>VLOOKUP($A24,'NG-Aug-Bill'!$A$15:$X$96,23)</f>
        <v>5</v>
      </c>
      <c r="J24" s="43">
        <f>VLOOKUP($A24,'NG-Sept-Bill'!$A$15:$X$96,23)</f>
        <v>11</v>
      </c>
      <c r="K24" s="43">
        <f>VLOOKUP($A24,'NG-Oct-Bill'!$A$15:$X$96,23)</f>
        <v>59</v>
      </c>
      <c r="L24" s="43">
        <f>VLOOKUP($A24,'NG-Nov-Bill'!$A$15:$X$96,23)</f>
        <v>294</v>
      </c>
      <c r="M24" s="43">
        <f>VLOOKUP($A24,'NG-Dec-Bill'!$A$15:$X$96,23)</f>
        <v>572</v>
      </c>
      <c r="O24" s="43">
        <f t="shared" si="0"/>
        <v>2312</v>
      </c>
    </row>
    <row r="25" spans="1:15" s="43" customFormat="1">
      <c r="A25" s="39">
        <v>893816110</v>
      </c>
      <c r="B25" s="43">
        <f>VLOOKUP($A25,'NG-Jan-Bill'!$A$15:$X$96,23)</f>
        <v>0</v>
      </c>
      <c r="C25" s="43">
        <f>VLOOKUP($A25,'NG-Feb-Bill'!$A$15:$X$96,23)</f>
        <v>0</v>
      </c>
      <c r="D25" s="43">
        <f>VLOOKUP($A25,'NG_Mar-Bill'!$A$15:$X$96,23)</f>
        <v>0</v>
      </c>
      <c r="E25" s="43">
        <f>VLOOKUP($A25,'NG-Apr-Bill'!$A$15:$X$96,23)</f>
        <v>0</v>
      </c>
      <c r="F25" s="43">
        <f>VLOOKUP($A25,'NG-May-Bill'!$A$15:$X$96,23)</f>
        <v>0</v>
      </c>
      <c r="G25" s="43">
        <f>VLOOKUP($A25,'NG-Jun-Bill'!$A$15:$X$96,23)</f>
        <v>0</v>
      </c>
      <c r="H25" s="43">
        <f>VLOOKUP($A25,'NG-Jul-Bill'!$A$15:$X$96,23)</f>
        <v>0</v>
      </c>
      <c r="I25" s="43">
        <f>VLOOKUP($A25,'NG-Aug-Bill'!$A$15:$X$96,23)</f>
        <v>0</v>
      </c>
      <c r="J25" s="43">
        <f>VLOOKUP($A25,'NG-Sept-Bill'!$A$15:$X$96,23)</f>
        <v>0</v>
      </c>
      <c r="K25" s="43">
        <f>VLOOKUP($A25,'NG-Oct-Bill'!$A$15:$X$96,23)</f>
        <v>0</v>
      </c>
      <c r="L25" s="43">
        <f>VLOOKUP($A25,'NG-Nov-Bill'!$A$15:$X$96,23)</f>
        <v>0</v>
      </c>
      <c r="M25" s="43">
        <f>VLOOKUP($A25,'NG-Dec-Bill'!$A$15:$X$96,23)</f>
        <v>0</v>
      </c>
      <c r="O25" s="43">
        <f t="shared" si="0"/>
        <v>0</v>
      </c>
    </row>
    <row r="26" spans="1:15" s="43" customFormat="1">
      <c r="A26" s="39">
        <v>893819102</v>
      </c>
      <c r="B26" s="43">
        <f>VLOOKUP($A26,'NG-Jan-Bill'!$A$15:$X$96,23)</f>
        <v>141</v>
      </c>
      <c r="C26" s="43">
        <f>VLOOKUP($A26,'NG-Feb-Bill'!$A$15:$X$96,23)</f>
        <v>171</v>
      </c>
      <c r="D26" s="43">
        <f>VLOOKUP($A26,'NG_Mar-Bill'!$A$15:$X$96,23)</f>
        <v>170</v>
      </c>
      <c r="E26" s="43">
        <f>VLOOKUP($A26,'NG-Apr-Bill'!$A$15:$X$96,23)</f>
        <v>125</v>
      </c>
      <c r="F26" s="43">
        <f>VLOOKUP($A26,'NG-May-Bill'!$A$15:$X$96,23)</f>
        <v>18</v>
      </c>
      <c r="G26" s="43">
        <f>VLOOKUP($A26,'NG-Jun-Bill'!$A$15:$X$96,23)</f>
        <v>0</v>
      </c>
      <c r="H26" s="43">
        <f>VLOOKUP($A26,'NG-Jul-Bill'!$A$15:$X$96,23)</f>
        <v>0</v>
      </c>
      <c r="I26" s="43">
        <f>VLOOKUP($A26,'NG-Aug-Bill'!$A$15:$X$96,23)</f>
        <v>0</v>
      </c>
      <c r="J26" s="43">
        <f>VLOOKUP($A26,'NG-Sept-Bill'!$A$15:$X$96,23)</f>
        <v>0</v>
      </c>
      <c r="K26" s="43">
        <f>VLOOKUP($A26,'NG-Oct-Bill'!$A$15:$X$96,23)</f>
        <v>0</v>
      </c>
      <c r="L26" s="43">
        <f>VLOOKUP($A26,'NG-Nov-Bill'!$A$15:$X$96,23)</f>
        <v>64</v>
      </c>
      <c r="M26" s="43">
        <f>VLOOKUP($A26,'NG-Dec-Bill'!$A$15:$X$96,23)</f>
        <v>203</v>
      </c>
      <c r="O26" s="43">
        <f t="shared" si="0"/>
        <v>892</v>
      </c>
    </row>
    <row r="27" spans="1:15" s="43" customFormat="1">
      <c r="A27" s="39">
        <v>913819100</v>
      </c>
      <c r="B27" s="43">
        <f>VLOOKUP($A27,'NG-Jan-Bill'!$A$15:$X$96,23)</f>
        <v>252</v>
      </c>
      <c r="C27" s="43">
        <f>VLOOKUP($A27,'NG-Feb-Bill'!$A$15:$X$96,23)</f>
        <v>252</v>
      </c>
      <c r="D27" s="43">
        <f>VLOOKUP($A27,'NG_Mar-Bill'!$A$15:$X$96,23)</f>
        <v>160</v>
      </c>
      <c r="E27" s="43">
        <f>VLOOKUP($A27,'NG-Apr-Bill'!$A$15:$X$96,23)</f>
        <v>114</v>
      </c>
      <c r="F27" s="43">
        <f>VLOOKUP($A27,'NG-May-Bill'!$A$15:$X$96,23)</f>
        <v>18</v>
      </c>
      <c r="G27" s="43">
        <f>VLOOKUP($A27,'NG-Jun-Bill'!$A$15:$X$96,23)</f>
        <v>1</v>
      </c>
      <c r="H27" s="43">
        <f>VLOOKUP($A27,'NG-Jul-Bill'!$A$15:$X$96,23)</f>
        <v>0</v>
      </c>
      <c r="I27" s="43">
        <f>VLOOKUP($A27,'NG-Aug-Bill'!$A$15:$X$96,23)</f>
        <v>0</v>
      </c>
      <c r="J27" s="43">
        <f>VLOOKUP($A27,'NG-Sept-Bill'!$A$15:$X$96,23)</f>
        <v>0</v>
      </c>
      <c r="K27" s="43">
        <f>VLOOKUP($A27,'NG-Oct-Bill'!$A$15:$X$96,23)</f>
        <v>6</v>
      </c>
      <c r="L27" s="43">
        <f>VLOOKUP($A27,'NG-Nov-Bill'!$A$15:$X$96,23)</f>
        <v>68</v>
      </c>
      <c r="M27" s="43">
        <f>VLOOKUP($A27,'NG-Dec-Bill'!$A$15:$X$96,23)</f>
        <v>198</v>
      </c>
      <c r="O27" s="43">
        <f t="shared" si="0"/>
        <v>1069</v>
      </c>
    </row>
    <row r="28" spans="1:15" s="43" customFormat="1">
      <c r="A28" s="39">
        <v>933819115</v>
      </c>
      <c r="B28" s="43">
        <f>VLOOKUP($A28,'NG-Jan-Bill'!$A$15:$X$96,23)</f>
        <v>359</v>
      </c>
      <c r="C28" s="43">
        <f>VLOOKUP($A28,'NG-Feb-Bill'!$A$15:$X$96,23)</f>
        <v>491</v>
      </c>
      <c r="D28" s="43">
        <f>VLOOKUP($A28,'NG_Mar-Bill'!$A$15:$X$96,23)</f>
        <v>327</v>
      </c>
      <c r="E28" s="43">
        <f>VLOOKUP($A28,'NG-Apr-Bill'!$A$15:$X$96,23)</f>
        <v>269</v>
      </c>
      <c r="F28" s="43">
        <f>VLOOKUP($A28,'NG-May-Bill'!$A$15:$X$96,23)</f>
        <v>40</v>
      </c>
      <c r="G28" s="43">
        <f>VLOOKUP($A28,'NG-Jun-Bill'!$A$15:$X$96,23)</f>
        <v>8</v>
      </c>
      <c r="H28" s="43">
        <f>VLOOKUP($A28,'NG-Jul-Bill'!$A$15:$X$96,23)</f>
        <v>0</v>
      </c>
      <c r="I28" s="43">
        <f>VLOOKUP($A28,'NG-Aug-Bill'!$A$15:$X$96,23)</f>
        <v>0</v>
      </c>
      <c r="J28" s="43">
        <f>VLOOKUP($A28,'NG-Sept-Bill'!$A$15:$X$96,23)</f>
        <v>0</v>
      </c>
      <c r="K28" s="43">
        <f>VLOOKUP($A28,'NG-Oct-Bill'!$A$15:$X$96,23)</f>
        <v>4</v>
      </c>
      <c r="L28" s="43">
        <f>VLOOKUP($A28,'NG-Nov-Bill'!$A$15:$X$96,23)</f>
        <v>106</v>
      </c>
      <c r="M28" s="43">
        <f>VLOOKUP($A28,'NG-Dec-Bill'!$A$15:$X$96,23)</f>
        <v>206</v>
      </c>
      <c r="O28" s="43">
        <f t="shared" si="0"/>
        <v>1810</v>
      </c>
    </row>
    <row r="29" spans="1:15" s="43" customFormat="1">
      <c r="A29" s="39">
        <v>948810124</v>
      </c>
      <c r="B29" s="43">
        <f>VLOOKUP($A29,'NG-Jan-Bill'!$A$15:$X$96,23)</f>
        <v>0</v>
      </c>
      <c r="C29" s="43">
        <f>VLOOKUP($A29,'NG-Feb-Bill'!$A$15:$X$96,23)</f>
        <v>0</v>
      </c>
      <c r="D29" s="43">
        <f>VLOOKUP($A29,'NG_Mar-Bill'!$A$15:$X$96,23)</f>
        <v>0</v>
      </c>
      <c r="E29" s="43">
        <f>VLOOKUP($A29,'NG-Apr-Bill'!$A$15:$X$96,23)</f>
        <v>0</v>
      </c>
      <c r="F29" s="43">
        <f>VLOOKUP($A29,'NG-May-Bill'!$A$15:$X$96,23)</f>
        <v>0</v>
      </c>
      <c r="G29" s="43">
        <f>VLOOKUP($A29,'NG-Jun-Bill'!$A$15:$X$96,23)</f>
        <v>0</v>
      </c>
      <c r="H29" s="43">
        <f>VLOOKUP($A29,'NG-Jul-Bill'!$A$15:$X$96,23)</f>
        <v>0</v>
      </c>
      <c r="I29" s="43">
        <f>VLOOKUP($A29,'NG-Aug-Bill'!$A$15:$X$96,23)</f>
        <v>0</v>
      </c>
      <c r="J29" s="43">
        <f>VLOOKUP($A29,'NG-Sept-Bill'!$A$15:$X$96,23)</f>
        <v>0</v>
      </c>
      <c r="K29" s="43">
        <f>VLOOKUP($A29,'NG-Oct-Bill'!$A$15:$X$96,23)</f>
        <v>0</v>
      </c>
      <c r="L29" s="43">
        <f>VLOOKUP($A29,'NG-Nov-Bill'!$A$15:$X$96,23)</f>
        <v>0</v>
      </c>
      <c r="M29" s="43">
        <f>VLOOKUP($A29,'NG-Dec-Bill'!$A$15:$X$96,23)</f>
        <v>0</v>
      </c>
      <c r="O29" s="43">
        <f t="shared" si="0"/>
        <v>0</v>
      </c>
    </row>
    <row r="30" spans="1:15" s="43" customFormat="1">
      <c r="A30" s="40">
        <v>1028809119</v>
      </c>
      <c r="B30" s="43">
        <f>VLOOKUP($A30,'NG-Jan-Bill'!$A$15:$X$96,23)</f>
        <v>0</v>
      </c>
      <c r="C30" s="43">
        <f>VLOOKUP($A30,'NG-Feb-Bill'!$A$15:$X$96,23)</f>
        <v>0</v>
      </c>
      <c r="D30" s="43">
        <f>VLOOKUP($A30,'NG_Mar-Bill'!$A$15:$X$96,23)</f>
        <v>0</v>
      </c>
      <c r="E30" s="43">
        <f>VLOOKUP($A30,'NG-Apr-Bill'!$A$15:$X$96,23)</f>
        <v>0</v>
      </c>
      <c r="F30" s="43">
        <f>VLOOKUP($A30,'NG-May-Bill'!$A$15:$X$96,23)</f>
        <v>0</v>
      </c>
      <c r="G30" s="43">
        <f>VLOOKUP($A30,'NG-Jun-Bill'!$A$15:$X$96,23)</f>
        <v>0</v>
      </c>
      <c r="H30" s="43">
        <f>VLOOKUP($A30,'NG-Jul-Bill'!$A$15:$X$96,23)</f>
        <v>0</v>
      </c>
      <c r="I30" s="43">
        <f>VLOOKUP($A30,'NG-Aug-Bill'!$A$15:$X$96,23)</f>
        <v>0</v>
      </c>
      <c r="J30" s="43">
        <f>VLOOKUP($A30,'NG-Sept-Bill'!$A$15:$X$96,23)</f>
        <v>0</v>
      </c>
      <c r="K30" s="43">
        <f>VLOOKUP($A30,'NG-Oct-Bill'!$A$15:$X$96,23)</f>
        <v>0</v>
      </c>
      <c r="L30" s="43">
        <f>VLOOKUP($A30,'NG-Nov-Bill'!$A$15:$X$96,23)</f>
        <v>0</v>
      </c>
      <c r="M30" s="43">
        <f>VLOOKUP($A30,'NG-Dec-Bill'!$A$15:$X$96,23)</f>
        <v>0</v>
      </c>
      <c r="O30" s="43">
        <f t="shared" si="0"/>
        <v>0</v>
      </c>
    </row>
    <row r="31" spans="1:15" s="43" customFormat="1">
      <c r="A31" s="40">
        <v>1133133008</v>
      </c>
      <c r="B31" s="43">
        <f>VLOOKUP($A31,'NG-Jan-Bill'!$A$15:$X$96,23)</f>
        <v>0</v>
      </c>
      <c r="C31" s="43">
        <f>VLOOKUP($A31,'NG-Feb-Bill'!$A$15:$X$96,23)</f>
        <v>0</v>
      </c>
      <c r="D31" s="43">
        <f>VLOOKUP($A31,'NG_Mar-Bill'!$A$15:$X$96,23)</f>
        <v>0</v>
      </c>
      <c r="E31" s="43">
        <f>VLOOKUP($A31,'NG-Apr-Bill'!$A$15:$X$96,23)</f>
        <v>0</v>
      </c>
      <c r="F31" s="43">
        <f>VLOOKUP($A31,'NG-May-Bill'!$A$15:$X$96,23)</f>
        <v>0</v>
      </c>
      <c r="G31" s="43">
        <f>VLOOKUP($A31,'NG-Jun-Bill'!$A$15:$X$96,23)</f>
        <v>0</v>
      </c>
      <c r="H31" s="43">
        <f>VLOOKUP($A31,'NG-Jul-Bill'!$A$15:$X$96,23)</f>
        <v>0</v>
      </c>
      <c r="I31" s="43">
        <f>VLOOKUP($A31,'NG-Aug-Bill'!$A$15:$X$96,23)</f>
        <v>0</v>
      </c>
      <c r="J31" s="43">
        <f>VLOOKUP($A31,'NG-Sept-Bill'!$A$15:$X$96,23)</f>
        <v>0</v>
      </c>
      <c r="K31" s="43">
        <f>VLOOKUP($A31,'NG-Oct-Bill'!$A$15:$X$96,23)</f>
        <v>0</v>
      </c>
      <c r="L31" s="43">
        <f>VLOOKUP($A31,'NG-Nov-Bill'!$A$15:$X$96,23)</f>
        <v>0</v>
      </c>
      <c r="M31" s="43">
        <f>VLOOKUP($A31,'NG-Dec-Bill'!$A$15:$X$96,23)</f>
        <v>0</v>
      </c>
      <c r="O31" s="43">
        <f t="shared" si="0"/>
        <v>0</v>
      </c>
    </row>
    <row r="32" spans="1:15" s="43" customFormat="1">
      <c r="A32" s="40">
        <v>1133819101</v>
      </c>
      <c r="B32" s="43">
        <f>VLOOKUP($A32,'NG-Jan-Bill'!$A$15:$X$96,23)</f>
        <v>0</v>
      </c>
      <c r="C32" s="43">
        <f>VLOOKUP($A32,'NG-Feb-Bill'!$A$15:$X$96,23)</f>
        <v>0</v>
      </c>
      <c r="D32" s="43">
        <f>VLOOKUP($A32,'NG_Mar-Bill'!$A$15:$X$96,23)</f>
        <v>0</v>
      </c>
      <c r="E32" s="43">
        <f>VLOOKUP($A32,'NG-Apr-Bill'!$A$15:$X$96,23)</f>
        <v>0</v>
      </c>
      <c r="F32" s="43">
        <f>VLOOKUP($A32,'NG-May-Bill'!$A$15:$X$96,23)</f>
        <v>0</v>
      </c>
      <c r="G32" s="43">
        <f>VLOOKUP($A32,'NG-Jun-Bill'!$A$15:$X$96,23)</f>
        <v>0</v>
      </c>
      <c r="H32" s="43">
        <f>VLOOKUP($A32,'NG-Jul-Bill'!$A$15:$X$96,23)</f>
        <v>0</v>
      </c>
      <c r="I32" s="43">
        <f>VLOOKUP($A32,'NG-Aug-Bill'!$A$15:$X$96,23)</f>
        <v>0</v>
      </c>
      <c r="J32" s="43">
        <f>VLOOKUP($A32,'NG-Sept-Bill'!$A$15:$X$96,23)</f>
        <v>0</v>
      </c>
      <c r="K32" s="43">
        <f>VLOOKUP($A32,'NG-Oct-Bill'!$A$15:$X$96,23)</f>
        <v>0</v>
      </c>
      <c r="L32" s="43">
        <f>VLOOKUP($A32,'NG-Nov-Bill'!$A$15:$X$96,23)</f>
        <v>0</v>
      </c>
      <c r="M32" s="43">
        <f>VLOOKUP($A32,'NG-Dec-Bill'!$A$15:$X$96,23)</f>
        <v>0</v>
      </c>
      <c r="O32" s="43">
        <f t="shared" si="0"/>
        <v>0</v>
      </c>
    </row>
    <row r="33" spans="1:15" s="43" customFormat="1">
      <c r="A33" s="40">
        <v>1193808115</v>
      </c>
      <c r="B33" s="43">
        <f>VLOOKUP($A33,'NG-Jan-Bill'!$A$15:$X$96,23)</f>
        <v>0</v>
      </c>
      <c r="C33" s="43">
        <f>VLOOKUP($A33,'NG-Feb-Bill'!$A$15:$X$96,23)</f>
        <v>0</v>
      </c>
      <c r="D33" s="43">
        <f>VLOOKUP($A33,'NG_Mar-Bill'!$A$15:$X$96,23)</f>
        <v>0</v>
      </c>
      <c r="E33" s="43">
        <f>VLOOKUP($A33,'NG-Apr-Bill'!$A$15:$X$96,23)</f>
        <v>0</v>
      </c>
      <c r="F33" s="43">
        <f>VLOOKUP($A33,'NG-May-Bill'!$A$15:$X$96,23)</f>
        <v>0</v>
      </c>
      <c r="G33" s="43">
        <f>VLOOKUP($A33,'NG-Jun-Bill'!$A$15:$X$96,23)</f>
        <v>0</v>
      </c>
      <c r="H33" s="43">
        <f>VLOOKUP($A33,'NG-Jul-Bill'!$A$15:$X$96,23)</f>
        <v>0</v>
      </c>
      <c r="I33" s="43">
        <f>VLOOKUP($A33,'NG-Aug-Bill'!$A$15:$X$96,23)</f>
        <v>0</v>
      </c>
      <c r="J33" s="43">
        <f>VLOOKUP($A33,'NG-Sept-Bill'!$A$15:$X$96,23)</f>
        <v>0</v>
      </c>
      <c r="K33" s="43">
        <f>VLOOKUP($A33,'NG-Oct-Bill'!$A$15:$X$96,23)</f>
        <v>0</v>
      </c>
      <c r="L33" s="43">
        <f>VLOOKUP($A33,'NG-Nov-Bill'!$A$15:$X$96,23)</f>
        <v>0</v>
      </c>
      <c r="M33" s="43">
        <f>VLOOKUP($A33,'NG-Dec-Bill'!$A$15:$X$96,23)</f>
        <v>0</v>
      </c>
      <c r="O33" s="43">
        <f t="shared" si="0"/>
        <v>0</v>
      </c>
    </row>
    <row r="34" spans="1:15" s="43" customFormat="1">
      <c r="A34" s="40">
        <v>1492627005</v>
      </c>
      <c r="B34" s="43">
        <f>VLOOKUP($A34,'NG-Jan-Bill'!$A$15:$X$96,23)</f>
        <v>0</v>
      </c>
      <c r="C34" s="43">
        <f>VLOOKUP($A34,'NG-Feb-Bill'!$A$15:$X$96,23)</f>
        <v>0</v>
      </c>
      <c r="D34" s="43">
        <f>VLOOKUP($A34,'NG_Mar-Bill'!$A$15:$X$96,23)</f>
        <v>0</v>
      </c>
      <c r="E34" s="43">
        <f>VLOOKUP($A34,'NG-Apr-Bill'!$A$15:$X$96,23)</f>
        <v>0</v>
      </c>
      <c r="F34" s="43">
        <f>VLOOKUP($A34,'NG-May-Bill'!$A$15:$X$96,23)</f>
        <v>0</v>
      </c>
      <c r="G34" s="43">
        <f>VLOOKUP($A34,'NG-Jun-Bill'!$A$15:$X$96,23)</f>
        <v>0</v>
      </c>
      <c r="H34" s="43">
        <f>VLOOKUP($A34,'NG-Jul-Bill'!$A$15:$X$96,23)</f>
        <v>0</v>
      </c>
      <c r="I34" s="43">
        <f>VLOOKUP($A34,'NG-Aug-Bill'!$A$15:$X$96,23)</f>
        <v>0</v>
      </c>
      <c r="J34" s="43">
        <f>VLOOKUP($A34,'NG-Sept-Bill'!$A$15:$X$96,23)</f>
        <v>0</v>
      </c>
      <c r="K34" s="43">
        <f>VLOOKUP($A34,'NG-Oct-Bill'!$A$15:$X$96,23)</f>
        <v>0</v>
      </c>
      <c r="L34" s="43">
        <f>VLOOKUP($A34,'NG-Nov-Bill'!$A$15:$X$96,23)</f>
        <v>0</v>
      </c>
      <c r="M34" s="43">
        <f>VLOOKUP($A34,'NG-Dec-Bill'!$A$15:$X$96,23)</f>
        <v>0</v>
      </c>
      <c r="O34" s="43">
        <f t="shared" si="0"/>
        <v>0</v>
      </c>
    </row>
    <row r="35" spans="1:15" s="43" customFormat="1">
      <c r="A35" s="40">
        <v>1513818115</v>
      </c>
      <c r="B35" s="43">
        <f>VLOOKUP($A35,'NG-Jan-Bill'!$A$15:$X$96,23)</f>
        <v>0</v>
      </c>
      <c r="C35" s="43">
        <f>VLOOKUP($A35,'NG-Feb-Bill'!$A$15:$X$96,23)</f>
        <v>0</v>
      </c>
      <c r="D35" s="43">
        <f>VLOOKUP($A35,'NG_Mar-Bill'!$A$15:$X$96,23)</f>
        <v>0</v>
      </c>
      <c r="E35" s="43">
        <f>VLOOKUP($A35,'NG-Apr-Bill'!$A$15:$X$96,23)</f>
        <v>0</v>
      </c>
      <c r="F35" s="43">
        <f>VLOOKUP($A35,'NG-May-Bill'!$A$15:$X$96,23)</f>
        <v>0</v>
      </c>
      <c r="G35" s="43">
        <f>VLOOKUP($A35,'NG-Jun-Bill'!$A$15:$X$96,23)</f>
        <v>0</v>
      </c>
      <c r="H35" s="43">
        <f>VLOOKUP($A35,'NG-Jul-Bill'!$A$15:$X$96,23)</f>
        <v>0</v>
      </c>
      <c r="I35" s="43">
        <f>VLOOKUP($A35,'NG-Aug-Bill'!$A$15:$X$96,23)</f>
        <v>0</v>
      </c>
      <c r="J35" s="43">
        <f>VLOOKUP($A35,'NG-Sept-Bill'!$A$15:$X$96,23)</f>
        <v>0</v>
      </c>
      <c r="K35" s="43">
        <f>VLOOKUP($A35,'NG-Oct-Bill'!$A$15:$X$96,23)</f>
        <v>0</v>
      </c>
      <c r="L35" s="43">
        <f>VLOOKUP($A35,'NG-Nov-Bill'!$A$15:$X$96,23)</f>
        <v>0</v>
      </c>
      <c r="M35" s="43">
        <f>VLOOKUP($A35,'NG-Dec-Bill'!$A$15:$X$96,23)</f>
        <v>0</v>
      </c>
      <c r="O35" s="43">
        <f t="shared" si="0"/>
        <v>0</v>
      </c>
    </row>
    <row r="36" spans="1:15" s="43" customFormat="1">
      <c r="A36" s="40">
        <v>1608811106</v>
      </c>
      <c r="B36" s="43">
        <f>VLOOKUP($A36,'NG-Jan-Bill'!$A$15:$X$96,23)</f>
        <v>0</v>
      </c>
      <c r="C36" s="43">
        <f>VLOOKUP($A36,'NG-Feb-Bill'!$A$15:$X$96,23)</f>
        <v>0</v>
      </c>
      <c r="D36" s="43">
        <f>VLOOKUP($A36,'NG_Mar-Bill'!$A$15:$X$96,23)</f>
        <v>0</v>
      </c>
      <c r="E36" s="43">
        <f>VLOOKUP($A36,'NG-Apr-Bill'!$A$15:$X$96,23)</f>
        <v>0</v>
      </c>
      <c r="F36" s="43">
        <f>VLOOKUP($A36,'NG-May-Bill'!$A$15:$X$96,23)</f>
        <v>0</v>
      </c>
      <c r="G36" s="43">
        <f>VLOOKUP($A36,'NG-Jun-Bill'!$A$15:$X$96,23)</f>
        <v>0</v>
      </c>
      <c r="H36" s="43">
        <f>VLOOKUP($A36,'NG-Jul-Bill'!$A$15:$X$96,23)</f>
        <v>0</v>
      </c>
      <c r="I36" s="43">
        <f>VLOOKUP($A36,'NG-Aug-Bill'!$A$15:$X$96,23)</f>
        <v>0</v>
      </c>
      <c r="J36" s="43">
        <f>VLOOKUP($A36,'NG-Sept-Bill'!$A$15:$X$96,23)</f>
        <v>0</v>
      </c>
      <c r="K36" s="43">
        <f>VLOOKUP($A36,'NG-Oct-Bill'!$A$15:$X$96,23)</f>
        <v>0</v>
      </c>
      <c r="L36" s="43">
        <f>VLOOKUP($A36,'NG-Nov-Bill'!$A$15:$X$96,23)</f>
        <v>0</v>
      </c>
      <c r="M36" s="43">
        <f>VLOOKUP($A36,'NG-Dec-Bill'!$A$15:$X$96,23)</f>
        <v>0</v>
      </c>
      <c r="O36" s="43">
        <f t="shared" si="0"/>
        <v>0</v>
      </c>
    </row>
    <row r="37" spans="1:15" s="43" customFormat="1">
      <c r="A37" s="40">
        <v>1653819107</v>
      </c>
      <c r="B37" s="43">
        <f>VLOOKUP($A37,'NG-Jan-Bill'!$A$15:$X$96,23)</f>
        <v>0</v>
      </c>
      <c r="C37" s="43">
        <f>VLOOKUP($A37,'NG-Feb-Bill'!$A$15:$X$96,23)</f>
        <v>0</v>
      </c>
      <c r="D37" s="43">
        <f>VLOOKUP($A37,'NG_Mar-Bill'!$A$15:$X$96,23)</f>
        <v>0</v>
      </c>
      <c r="E37" s="43">
        <f>VLOOKUP($A37,'NG-Apr-Bill'!$A$15:$X$96,23)</f>
        <v>0</v>
      </c>
      <c r="F37" s="43">
        <f>VLOOKUP($A37,'NG-May-Bill'!$A$15:$X$96,23)</f>
        <v>0</v>
      </c>
      <c r="G37" s="43">
        <f>VLOOKUP($A37,'NG-Jun-Bill'!$A$15:$X$96,23)</f>
        <v>0</v>
      </c>
      <c r="H37" s="43">
        <f>VLOOKUP($A37,'NG-Jul-Bill'!$A$15:$X$96,23)</f>
        <v>0</v>
      </c>
      <c r="I37" s="43">
        <f>VLOOKUP($A37,'NG-Aug-Bill'!$A$15:$X$96,23)</f>
        <v>0</v>
      </c>
      <c r="J37" s="43">
        <f>VLOOKUP($A37,'NG-Sept-Bill'!$A$15:$X$96,23)</f>
        <v>0</v>
      </c>
      <c r="K37" s="43">
        <f>VLOOKUP($A37,'NG-Oct-Bill'!$A$15:$X$96,23)</f>
        <v>0</v>
      </c>
      <c r="L37" s="43">
        <f>VLOOKUP($A37,'NG-Nov-Bill'!$A$15:$X$96,23)</f>
        <v>0</v>
      </c>
      <c r="M37" s="43">
        <f>VLOOKUP($A37,'NG-Dec-Bill'!$A$15:$X$96,23)</f>
        <v>0</v>
      </c>
      <c r="O37" s="43">
        <f t="shared" si="0"/>
        <v>0</v>
      </c>
    </row>
    <row r="38" spans="1:15" s="43" customFormat="1">
      <c r="A38" s="40">
        <v>1833820108</v>
      </c>
      <c r="B38" s="43">
        <f>VLOOKUP($A38,'NG-Jan-Bill'!$A$15:$X$96,23)</f>
        <v>0</v>
      </c>
      <c r="C38" s="43">
        <f>VLOOKUP($A38,'NG-Feb-Bill'!$A$15:$X$96,23)</f>
        <v>0</v>
      </c>
      <c r="D38" s="43">
        <f>VLOOKUP($A38,'NG_Mar-Bill'!$A$15:$X$96,23)</f>
        <v>0</v>
      </c>
      <c r="E38" s="43">
        <f>VLOOKUP($A38,'NG-Apr-Bill'!$A$15:$X$96,23)</f>
        <v>0</v>
      </c>
      <c r="F38" s="43">
        <f>VLOOKUP($A38,'NG-May-Bill'!$A$15:$X$96,23)</f>
        <v>0</v>
      </c>
      <c r="G38" s="43">
        <f>VLOOKUP($A38,'NG-Jun-Bill'!$A$15:$X$96,23)</f>
        <v>0</v>
      </c>
      <c r="H38" s="43">
        <f>VLOOKUP($A38,'NG-Jul-Bill'!$A$15:$X$96,23)</f>
        <v>0</v>
      </c>
      <c r="I38" s="43">
        <f>VLOOKUP($A38,'NG-Aug-Bill'!$A$15:$X$96,23)</f>
        <v>0</v>
      </c>
      <c r="J38" s="43">
        <f>VLOOKUP($A38,'NG-Sept-Bill'!$A$15:$X$96,23)</f>
        <v>0</v>
      </c>
      <c r="K38" s="43">
        <f>VLOOKUP($A38,'NG-Oct-Bill'!$A$15:$X$96,23)</f>
        <v>0</v>
      </c>
      <c r="L38" s="43">
        <f>VLOOKUP($A38,'NG-Nov-Bill'!$A$15:$X$96,23)</f>
        <v>0</v>
      </c>
      <c r="M38" s="43">
        <f>VLOOKUP($A38,'NG-Dec-Bill'!$A$15:$X$96,23)</f>
        <v>0</v>
      </c>
      <c r="O38" s="43">
        <f t="shared" si="0"/>
        <v>0</v>
      </c>
    </row>
    <row r="39" spans="1:15" s="43" customFormat="1">
      <c r="A39" s="40">
        <v>1851009009</v>
      </c>
      <c r="B39" s="43">
        <f>VLOOKUP($A39,'NG-Jan-Bill'!$A$15:$X$96,23)</f>
        <v>0</v>
      </c>
      <c r="C39" s="43">
        <f>VLOOKUP($A39,'NG-Feb-Bill'!$A$15:$X$96,23)</f>
        <v>0</v>
      </c>
      <c r="D39" s="43">
        <f>VLOOKUP($A39,'NG_Mar-Bill'!$A$15:$X$96,23)</f>
        <v>0</v>
      </c>
      <c r="E39" s="43">
        <f>VLOOKUP($A39,'NG-Apr-Bill'!$A$15:$X$96,23)</f>
        <v>0</v>
      </c>
      <c r="F39" s="43">
        <f>VLOOKUP($A39,'NG-May-Bill'!$A$15:$X$96,23)</f>
        <v>0</v>
      </c>
      <c r="G39" s="43">
        <f>VLOOKUP($A39,'NG-Jun-Bill'!$A$15:$X$96,23)</f>
        <v>0</v>
      </c>
      <c r="H39" s="43">
        <f>VLOOKUP($A39,'NG-Jul-Bill'!$A$15:$X$96,23)</f>
        <v>0</v>
      </c>
      <c r="I39" s="43">
        <f>VLOOKUP($A39,'NG-Aug-Bill'!$A$15:$X$96,23)</f>
        <v>0</v>
      </c>
      <c r="J39" s="43">
        <f>VLOOKUP($A39,'NG-Sept-Bill'!$A$15:$X$96,23)</f>
        <v>0</v>
      </c>
      <c r="K39" s="43">
        <f>VLOOKUP($A39,'NG-Oct-Bill'!$A$15:$X$96,23)</f>
        <v>0</v>
      </c>
      <c r="L39" s="43">
        <f>VLOOKUP($A39,'NG-Nov-Bill'!$A$15:$X$96,23)</f>
        <v>0</v>
      </c>
      <c r="M39" s="43">
        <f>VLOOKUP($A39,'NG-Dec-Bill'!$A$15:$X$96,23)</f>
        <v>0</v>
      </c>
      <c r="O39" s="43">
        <f t="shared" si="0"/>
        <v>0</v>
      </c>
    </row>
    <row r="40" spans="1:15" s="43" customFormat="1">
      <c r="A40" s="40">
        <v>1933810131</v>
      </c>
      <c r="B40" s="43">
        <f>VLOOKUP($A40,'NG-Jan-Bill'!$A$15:$X$96,23)</f>
        <v>734</v>
      </c>
      <c r="C40" s="43">
        <f>VLOOKUP($A40,'NG-Feb-Bill'!$A$15:$X$96,23)</f>
        <v>422</v>
      </c>
      <c r="D40" s="43">
        <f>VLOOKUP($A40,'NG_Mar-Bill'!$A$15:$X$96,23)</f>
        <v>337</v>
      </c>
      <c r="E40" s="43">
        <f>VLOOKUP($A40,'NG-Apr-Bill'!$A$15:$X$96,23)</f>
        <v>281</v>
      </c>
      <c r="F40" s="43">
        <f>VLOOKUP($A40,'NG-May-Bill'!$A$15:$X$96,23)</f>
        <v>72</v>
      </c>
      <c r="G40" s="43">
        <f>VLOOKUP($A40,'NG-Jun-Bill'!$A$15:$X$96,23)</f>
        <v>8</v>
      </c>
      <c r="H40" s="43">
        <f>VLOOKUP($A40,'NG-Jul-Bill'!$A$15:$X$96,23)</f>
        <v>0</v>
      </c>
      <c r="I40" s="43">
        <f>VLOOKUP($A40,'NG-Aug-Bill'!$A$15:$X$96,23)</f>
        <v>0</v>
      </c>
      <c r="J40" s="43">
        <f>VLOOKUP($A40,'NG-Sept-Bill'!$A$15:$X$96,23)</f>
        <v>1</v>
      </c>
      <c r="K40" s="43">
        <f>VLOOKUP($A40,'NG-Oct-Bill'!$A$15:$X$96,23)</f>
        <v>10</v>
      </c>
      <c r="L40" s="43">
        <f>VLOOKUP($A40,'NG-Nov-Bill'!$A$15:$X$96,23)</f>
        <v>153</v>
      </c>
      <c r="M40" s="43">
        <f>VLOOKUP($A40,'NG-Dec-Bill'!$A$15:$X$96,23)</f>
        <v>394</v>
      </c>
      <c r="O40" s="43">
        <f t="shared" si="0"/>
        <v>2412</v>
      </c>
    </row>
    <row r="41" spans="1:15" s="43" customFormat="1">
      <c r="A41" s="40">
        <v>2133819102</v>
      </c>
      <c r="B41" s="43">
        <f>VLOOKUP($A41,'NG-Jan-Bill'!$A$15:$X$96,23)</f>
        <v>0</v>
      </c>
      <c r="C41" s="43">
        <f>VLOOKUP($A41,'NG-Feb-Bill'!$A$15:$X$96,23)</f>
        <v>0</v>
      </c>
      <c r="D41" s="43">
        <f>VLOOKUP($A41,'NG_Mar-Bill'!$A$15:$X$96,23)</f>
        <v>0</v>
      </c>
      <c r="E41" s="43">
        <f>VLOOKUP($A41,'NG-Apr-Bill'!$A$15:$X$96,23)</f>
        <v>0</v>
      </c>
      <c r="F41" s="43">
        <f>VLOOKUP($A41,'NG-May-Bill'!$A$15:$X$96,23)</f>
        <v>0</v>
      </c>
      <c r="G41" s="43">
        <f>VLOOKUP($A41,'NG-Jun-Bill'!$A$15:$X$96,23)</f>
        <v>0</v>
      </c>
      <c r="H41" s="43">
        <f>VLOOKUP($A41,'NG-Jul-Bill'!$A$15:$X$96,23)</f>
        <v>0</v>
      </c>
      <c r="I41" s="43">
        <f>VLOOKUP($A41,'NG-Aug-Bill'!$A$15:$X$96,23)</f>
        <v>0</v>
      </c>
      <c r="J41" s="43">
        <f>VLOOKUP($A41,'NG-Sept-Bill'!$A$15:$X$96,23)</f>
        <v>0</v>
      </c>
      <c r="K41" s="43">
        <f>VLOOKUP($A41,'NG-Oct-Bill'!$A$15:$X$96,23)</f>
        <v>0</v>
      </c>
      <c r="L41" s="43">
        <f>VLOOKUP($A41,'NG-Nov-Bill'!$A$15:$X$96,23)</f>
        <v>0</v>
      </c>
      <c r="M41" s="43">
        <f>VLOOKUP($A41,'NG-Dec-Bill'!$A$15:$X$96,23)</f>
        <v>0</v>
      </c>
      <c r="O41" s="43">
        <f t="shared" si="0"/>
        <v>0</v>
      </c>
    </row>
    <row r="42" spans="1:15" s="43" customFormat="1">
      <c r="A42" s="40">
        <v>2133821120</v>
      </c>
      <c r="B42" s="43">
        <f>VLOOKUP($A42,'NG-Jan-Bill'!$A$15:$X$96,23)</f>
        <v>0</v>
      </c>
      <c r="C42" s="43">
        <f>VLOOKUP($A42,'NG-Feb-Bill'!$A$15:$X$96,23)</f>
        <v>0</v>
      </c>
      <c r="D42" s="43">
        <f>VLOOKUP($A42,'NG_Mar-Bill'!$A$15:$X$96,23)</f>
        <v>0</v>
      </c>
      <c r="E42" s="43">
        <f>VLOOKUP($A42,'NG-Apr-Bill'!$A$15:$X$96,23)</f>
        <v>0</v>
      </c>
      <c r="F42" s="43">
        <f>VLOOKUP($A42,'NG-May-Bill'!$A$15:$X$96,23)</f>
        <v>0</v>
      </c>
      <c r="G42" s="43">
        <f>VLOOKUP($A42,'NG-Jun-Bill'!$A$15:$X$96,23)</f>
        <v>0</v>
      </c>
      <c r="H42" s="43">
        <f>VLOOKUP($A42,'NG-Jul-Bill'!$A$15:$X$96,23)</f>
        <v>0</v>
      </c>
      <c r="I42" s="43">
        <f>VLOOKUP($A42,'NG-Aug-Bill'!$A$15:$X$96,23)</f>
        <v>0</v>
      </c>
      <c r="J42" s="43">
        <f>VLOOKUP($A42,'NG-Sept-Bill'!$A$15:$X$96,23)</f>
        <v>0</v>
      </c>
      <c r="K42" s="43">
        <f>VLOOKUP($A42,'NG-Oct-Bill'!$A$15:$X$96,23)</f>
        <v>0</v>
      </c>
      <c r="L42" s="43">
        <f>VLOOKUP($A42,'NG-Nov-Bill'!$A$15:$X$96,23)</f>
        <v>0</v>
      </c>
      <c r="M42" s="43">
        <f>VLOOKUP($A42,'NG-Dec-Bill'!$A$15:$X$96,23)</f>
        <v>0</v>
      </c>
      <c r="O42" s="43">
        <f t="shared" si="0"/>
        <v>0</v>
      </c>
    </row>
    <row r="43" spans="1:15" s="43" customFormat="1">
      <c r="A43" s="40">
        <v>2137454018</v>
      </c>
      <c r="B43" s="43">
        <f>VLOOKUP($A43,'NG-Jan-Bill'!$A$15:$X$96,23)</f>
        <v>0</v>
      </c>
      <c r="C43" s="43">
        <f>VLOOKUP($A43,'NG-Feb-Bill'!$A$15:$X$96,23)</f>
        <v>0</v>
      </c>
      <c r="D43" s="43">
        <f>VLOOKUP($A43,'NG_Mar-Bill'!$A$15:$X$96,23)</f>
        <v>0</v>
      </c>
      <c r="E43" s="43">
        <f>VLOOKUP($A43,'NG-Apr-Bill'!$A$15:$X$96,23)</f>
        <v>0</v>
      </c>
      <c r="F43" s="43">
        <f>VLOOKUP($A43,'NG-May-Bill'!$A$15:$X$96,23)</f>
        <v>0</v>
      </c>
      <c r="G43" s="43">
        <f>VLOOKUP($A43,'NG-Jun-Bill'!$A$15:$X$96,23)</f>
        <v>0</v>
      </c>
      <c r="H43" s="43">
        <f>VLOOKUP($A43,'NG-Jul-Bill'!$A$15:$X$96,23)</f>
        <v>0</v>
      </c>
      <c r="I43" s="43">
        <f>VLOOKUP($A43,'NG-Aug-Bill'!$A$15:$X$96,23)</f>
        <v>0</v>
      </c>
      <c r="J43" s="43">
        <f>VLOOKUP($A43,'NG-Sept-Bill'!$A$15:$X$96,23)</f>
        <v>0</v>
      </c>
      <c r="K43" s="43">
        <f>VLOOKUP($A43,'NG-Oct-Bill'!$A$15:$X$96,23)</f>
        <v>0</v>
      </c>
      <c r="L43" s="43">
        <f>VLOOKUP($A43,'NG-Nov-Bill'!$A$15:$X$96,23)</f>
        <v>0</v>
      </c>
      <c r="M43" s="43">
        <f>VLOOKUP($A43,'NG-Dec-Bill'!$A$15:$X$96,23)</f>
        <v>0</v>
      </c>
      <c r="O43" s="43">
        <f t="shared" si="0"/>
        <v>0</v>
      </c>
    </row>
    <row r="44" spans="1:15" s="43" customFormat="1">
      <c r="A44" s="40">
        <v>2217686007</v>
      </c>
      <c r="B44" s="43">
        <f>VLOOKUP($A44,'NG-Jan-Bill'!$A$15:$X$96,23)</f>
        <v>0</v>
      </c>
      <c r="C44" s="43">
        <f>VLOOKUP($A44,'NG-Feb-Bill'!$A$15:$X$96,23)</f>
        <v>0</v>
      </c>
      <c r="D44" s="43">
        <f>VLOOKUP($A44,'NG_Mar-Bill'!$A$15:$X$96,23)</f>
        <v>0</v>
      </c>
      <c r="E44" s="43">
        <f>VLOOKUP($A44,'NG-Apr-Bill'!$A$15:$X$96,23)</f>
        <v>0</v>
      </c>
      <c r="F44" s="43">
        <f>VLOOKUP($A44,'NG-May-Bill'!$A$15:$X$96,23)</f>
        <v>0</v>
      </c>
      <c r="G44" s="43">
        <f>VLOOKUP($A44,'NG-Jun-Bill'!$A$15:$X$96,23)</f>
        <v>0</v>
      </c>
      <c r="H44" s="43">
        <f>VLOOKUP($A44,'NG-Jul-Bill'!$A$15:$X$96,23)</f>
        <v>0</v>
      </c>
      <c r="I44" s="43">
        <f>VLOOKUP($A44,'NG-Aug-Bill'!$A$15:$X$96,23)</f>
        <v>0</v>
      </c>
      <c r="J44" s="43">
        <f>VLOOKUP($A44,'NG-Sept-Bill'!$A$15:$X$96,23)</f>
        <v>0</v>
      </c>
      <c r="K44" s="43">
        <f>VLOOKUP($A44,'NG-Oct-Bill'!$A$15:$X$96,23)</f>
        <v>0</v>
      </c>
      <c r="L44" s="43">
        <f>VLOOKUP($A44,'NG-Nov-Bill'!$A$15:$X$96,23)</f>
        <v>0</v>
      </c>
      <c r="M44" s="43">
        <f>VLOOKUP($A44,'NG-Dec-Bill'!$A$15:$X$96,23)</f>
        <v>0</v>
      </c>
      <c r="O44" s="43">
        <f t="shared" si="0"/>
        <v>0</v>
      </c>
    </row>
    <row r="45" spans="1:15" s="43" customFormat="1">
      <c r="A45" s="40">
        <v>2480127108</v>
      </c>
      <c r="B45" s="43">
        <f>VLOOKUP($A45,'NG-Jan-Bill'!$A$15:$X$96,23)</f>
        <v>0</v>
      </c>
      <c r="C45" s="43">
        <f>VLOOKUP($A45,'NG-Feb-Bill'!$A$15:$X$96,23)</f>
        <v>0</v>
      </c>
      <c r="D45" s="43">
        <f>VLOOKUP($A45,'NG_Mar-Bill'!$A$15:$X$96,23)</f>
        <v>0</v>
      </c>
      <c r="E45" s="43">
        <f>VLOOKUP($A45,'NG-Apr-Bill'!$A$15:$X$96,23)</f>
        <v>0</v>
      </c>
      <c r="F45" s="43">
        <f>VLOOKUP($A45,'NG-May-Bill'!$A$15:$X$96,23)</f>
        <v>0</v>
      </c>
      <c r="G45" s="43">
        <f>VLOOKUP($A45,'NG-Jun-Bill'!$A$15:$X$96,23)</f>
        <v>0</v>
      </c>
      <c r="H45" s="43">
        <f>VLOOKUP($A45,'NG-Jul-Bill'!$A$15:$X$96,23)</f>
        <v>0</v>
      </c>
      <c r="I45" s="43">
        <f>VLOOKUP($A45,'NG-Aug-Bill'!$A$15:$X$96,23)</f>
        <v>0</v>
      </c>
      <c r="J45" s="43">
        <f>VLOOKUP($A45,'NG-Sept-Bill'!$A$15:$X$96,23)</f>
        <v>0</v>
      </c>
      <c r="K45" s="43">
        <f>VLOOKUP($A45,'NG-Oct-Bill'!$A$15:$X$96,23)</f>
        <v>0</v>
      </c>
      <c r="L45" s="43">
        <f>VLOOKUP($A45,'NG-Nov-Bill'!$A$15:$X$96,23)</f>
        <v>0</v>
      </c>
      <c r="M45" s="43">
        <f>VLOOKUP($A45,'NG-Dec-Bill'!$A$15:$X$96,23)</f>
        <v>0</v>
      </c>
      <c r="O45" s="43">
        <f t="shared" si="0"/>
        <v>0</v>
      </c>
    </row>
    <row r="46" spans="1:15" s="43" customFormat="1">
      <c r="A46" s="40">
        <v>2533809113</v>
      </c>
      <c r="B46" s="43">
        <f>VLOOKUP($A46,'NG-Jan-Bill'!$A$15:$X$96,23)</f>
        <v>8</v>
      </c>
      <c r="C46" s="43">
        <f>VLOOKUP($A46,'NG-Feb-Bill'!$A$15:$X$96,23)</f>
        <v>2</v>
      </c>
      <c r="D46" s="43">
        <f>VLOOKUP($A46,'NG_Mar-Bill'!$A$15:$X$96,23)</f>
        <v>4</v>
      </c>
      <c r="E46" s="43">
        <f>VLOOKUP($A46,'NG-Apr-Bill'!$A$15:$X$96,23)</f>
        <v>2</v>
      </c>
      <c r="F46" s="43">
        <f>VLOOKUP($A46,'NG-May-Bill'!$A$15:$X$96,23)</f>
        <v>12</v>
      </c>
      <c r="G46" s="43">
        <f>VLOOKUP($A46,'NG-Jun-Bill'!$A$15:$X$96,23)</f>
        <v>2</v>
      </c>
      <c r="H46" s="43">
        <f>VLOOKUP($A46,'NG-Jul-Bill'!$A$15:$X$96,23)</f>
        <v>0</v>
      </c>
      <c r="I46" s="43">
        <f>VLOOKUP($A46,'NG-Aug-Bill'!$A$15:$X$96,23)</f>
        <v>5</v>
      </c>
      <c r="J46" s="43">
        <f>VLOOKUP($A46,'NG-Sept-Bill'!$A$15:$X$96,23)</f>
        <v>2</v>
      </c>
      <c r="K46" s="43">
        <f>VLOOKUP($A46,'NG-Oct-Bill'!$A$15:$X$96,23)</f>
        <v>2</v>
      </c>
      <c r="L46" s="43">
        <f>VLOOKUP($A46,'NG-Nov-Bill'!$A$15:$X$96,23)</f>
        <v>2</v>
      </c>
      <c r="M46" s="43">
        <f>VLOOKUP($A46,'NG-Dec-Bill'!$A$15:$X$96,23)</f>
        <v>2</v>
      </c>
      <c r="O46" s="43">
        <f t="shared" si="0"/>
        <v>43</v>
      </c>
    </row>
    <row r="47" spans="1:15" s="43" customFormat="1">
      <c r="A47" s="40">
        <v>2693810107</v>
      </c>
      <c r="B47" s="43">
        <f>VLOOKUP($A47,'NG-Jan-Bill'!$A$15:$X$96,23)</f>
        <v>0</v>
      </c>
      <c r="C47" s="43">
        <f>VLOOKUP($A47,'NG-Feb-Bill'!$A$15:$X$96,23)</f>
        <v>0</v>
      </c>
      <c r="D47" s="43">
        <f>VLOOKUP($A47,'NG_Mar-Bill'!$A$15:$X$96,23)</f>
        <v>0</v>
      </c>
      <c r="E47" s="43">
        <f>VLOOKUP($A47,'NG-Apr-Bill'!$A$15:$X$96,23)</f>
        <v>0</v>
      </c>
      <c r="F47" s="43">
        <f>VLOOKUP($A47,'NG-May-Bill'!$A$15:$X$96,23)</f>
        <v>0</v>
      </c>
      <c r="G47" s="43">
        <f>VLOOKUP($A47,'NG-Jun-Bill'!$A$15:$X$96,23)</f>
        <v>0</v>
      </c>
      <c r="H47" s="43">
        <f>VLOOKUP($A47,'NG-Jul-Bill'!$A$15:$X$96,23)</f>
        <v>0</v>
      </c>
      <c r="I47" s="43">
        <f>VLOOKUP($A47,'NG-Aug-Bill'!$A$15:$X$96,23)</f>
        <v>0</v>
      </c>
      <c r="J47" s="43">
        <f>VLOOKUP($A47,'NG-Sept-Bill'!$A$15:$X$96,23)</f>
        <v>0</v>
      </c>
      <c r="K47" s="43">
        <f>VLOOKUP($A47,'NG-Oct-Bill'!$A$15:$X$96,23)</f>
        <v>0</v>
      </c>
      <c r="L47" s="43">
        <f>VLOOKUP($A47,'NG-Nov-Bill'!$A$15:$X$96,23)</f>
        <v>0</v>
      </c>
      <c r="M47" s="43">
        <f>VLOOKUP($A47,'NG-Dec-Bill'!$A$15:$X$96,23)</f>
        <v>0</v>
      </c>
      <c r="O47" s="43">
        <f t="shared" si="0"/>
        <v>0</v>
      </c>
    </row>
    <row r="48" spans="1:15" s="43" customFormat="1">
      <c r="A48" s="40">
        <v>2703112003</v>
      </c>
      <c r="B48" s="43">
        <f>VLOOKUP($A48,'NG-Jan-Bill'!$A$15:$X$96,23)</f>
        <v>0</v>
      </c>
      <c r="C48" s="43">
        <f>VLOOKUP($A48,'NG-Feb-Bill'!$A$15:$X$96,23)</f>
        <v>0</v>
      </c>
      <c r="D48" s="43">
        <f>VLOOKUP($A48,'NG_Mar-Bill'!$A$15:$X$96,23)</f>
        <v>0</v>
      </c>
      <c r="E48" s="43">
        <f>VLOOKUP($A48,'NG-Apr-Bill'!$A$15:$X$96,23)</f>
        <v>0</v>
      </c>
      <c r="F48" s="43">
        <f>VLOOKUP($A48,'NG-May-Bill'!$A$15:$X$96,23)</f>
        <v>0</v>
      </c>
      <c r="G48" s="43">
        <f>VLOOKUP($A48,'NG-Jun-Bill'!$A$15:$X$96,23)</f>
        <v>0</v>
      </c>
      <c r="H48" s="43">
        <f>VLOOKUP($A48,'NG-Jul-Bill'!$A$15:$X$96,23)</f>
        <v>0</v>
      </c>
      <c r="I48" s="43">
        <f>VLOOKUP($A48,'NG-Aug-Bill'!$A$15:$X$96,23)</f>
        <v>0</v>
      </c>
      <c r="J48" s="43">
        <f>VLOOKUP($A48,'NG-Sept-Bill'!$A$15:$X$96,23)</f>
        <v>0</v>
      </c>
      <c r="K48" s="43">
        <f>VLOOKUP($A48,'NG-Oct-Bill'!$A$15:$X$96,23)</f>
        <v>0</v>
      </c>
      <c r="L48" s="43">
        <f>VLOOKUP($A48,'NG-Nov-Bill'!$A$15:$X$96,23)</f>
        <v>0</v>
      </c>
      <c r="M48" s="43">
        <f>VLOOKUP($A48,'NG-Dec-Bill'!$A$15:$X$96,23)</f>
        <v>0</v>
      </c>
      <c r="O48" s="43">
        <f t="shared" si="0"/>
        <v>0</v>
      </c>
    </row>
    <row r="49" spans="1:15" s="43" customFormat="1">
      <c r="A49" s="40">
        <v>2773821106</v>
      </c>
      <c r="B49" s="43">
        <f>VLOOKUP($A49,'NG-Jan-Bill'!$A$15:$X$96,23)</f>
        <v>0</v>
      </c>
      <c r="C49" s="43">
        <f>VLOOKUP($A49,'NG-Feb-Bill'!$A$15:$X$96,23)</f>
        <v>0</v>
      </c>
      <c r="D49" s="43">
        <f>VLOOKUP($A49,'NG_Mar-Bill'!$A$15:$X$96,23)</f>
        <v>0</v>
      </c>
      <c r="E49" s="43">
        <f>VLOOKUP($A49,'NG-Apr-Bill'!$A$15:$X$96,23)</f>
        <v>0</v>
      </c>
      <c r="F49" s="43">
        <f>VLOOKUP($A49,'NG-May-Bill'!$A$15:$X$96,23)</f>
        <v>0</v>
      </c>
      <c r="G49" s="43">
        <f>VLOOKUP($A49,'NG-Jun-Bill'!$A$15:$X$96,23)</f>
        <v>0</v>
      </c>
      <c r="H49" s="43">
        <f>VLOOKUP($A49,'NG-Jul-Bill'!$A$15:$X$96,23)</f>
        <v>0</v>
      </c>
      <c r="I49" s="43">
        <f>VLOOKUP($A49,'NG-Aug-Bill'!$A$15:$X$96,23)</f>
        <v>0</v>
      </c>
      <c r="J49" s="43">
        <f>VLOOKUP($A49,'NG-Sept-Bill'!$A$15:$X$96,23)</f>
        <v>0</v>
      </c>
      <c r="K49" s="43">
        <f>VLOOKUP($A49,'NG-Oct-Bill'!$A$15:$X$96,23)</f>
        <v>0</v>
      </c>
      <c r="L49" s="43">
        <f>VLOOKUP($A49,'NG-Nov-Bill'!$A$15:$X$96,23)</f>
        <v>0</v>
      </c>
      <c r="M49" s="43">
        <f>VLOOKUP($A49,'NG-Dec-Bill'!$A$15:$X$96,23)</f>
        <v>0</v>
      </c>
      <c r="O49" s="43">
        <f t="shared" si="0"/>
        <v>0</v>
      </c>
    </row>
    <row r="50" spans="1:15" s="43" customFormat="1">
      <c r="A50" s="40">
        <v>2856106004</v>
      </c>
      <c r="B50" s="43">
        <f>VLOOKUP($A50,'NG-Jan-Bill'!$A$15:$X$96,23)</f>
        <v>26</v>
      </c>
      <c r="C50" s="43">
        <f>VLOOKUP($A50,'NG-Feb-Bill'!$A$15:$X$96,23)</f>
        <v>27</v>
      </c>
      <c r="D50" s="43">
        <f>VLOOKUP($A50,'NG_Mar-Bill'!$A$15:$X$96,23)</f>
        <v>24</v>
      </c>
      <c r="E50" s="43">
        <f>VLOOKUP($A50,'NG-Apr-Bill'!$A$15:$X$96,23)</f>
        <v>21</v>
      </c>
      <c r="F50" s="43">
        <f>VLOOKUP($A50,'NG-May-Bill'!$A$15:$X$96,23)</f>
        <v>8</v>
      </c>
      <c r="G50" s="43">
        <f>VLOOKUP($A50,'NG-Jun-Bill'!$A$15:$X$96,23)</f>
        <v>6</v>
      </c>
      <c r="H50" s="43">
        <f>VLOOKUP($A50,'NG-Jul-Bill'!$A$15:$X$96,23)</f>
        <v>5</v>
      </c>
      <c r="I50" s="43">
        <f>VLOOKUP($A50,'NG-Aug-Bill'!$A$15:$X$96,23)</f>
        <v>4</v>
      </c>
      <c r="J50" s="43">
        <f>VLOOKUP($A50,'NG-Sept-Bill'!$A$15:$X$96,23)</f>
        <v>8</v>
      </c>
      <c r="K50" s="43">
        <f>VLOOKUP($A50,'NG-Oct-Bill'!$A$15:$X$96,23)</f>
        <v>5</v>
      </c>
      <c r="L50" s="43">
        <f>VLOOKUP($A50,'NG-Nov-Bill'!$A$15:$X$96,23)</f>
        <v>7</v>
      </c>
      <c r="M50" s="43">
        <f>VLOOKUP($A50,'NG-Dec-Bill'!$A$15:$X$96,23)</f>
        <v>22</v>
      </c>
      <c r="O50" s="43">
        <f t="shared" si="0"/>
        <v>163</v>
      </c>
    </row>
    <row r="51" spans="1:15" s="43" customFormat="1">
      <c r="A51" s="40">
        <v>2860127100</v>
      </c>
      <c r="B51" s="43">
        <f>VLOOKUP($A51,'NG-Jan-Bill'!$A$15:$X$96,23)</f>
        <v>0</v>
      </c>
      <c r="C51" s="43">
        <f>VLOOKUP($A51,'NG-Feb-Bill'!$A$15:$X$96,23)</f>
        <v>0</v>
      </c>
      <c r="D51" s="43">
        <f>VLOOKUP($A51,'NG_Mar-Bill'!$A$15:$X$96,23)</f>
        <v>0</v>
      </c>
      <c r="E51" s="43">
        <f>VLOOKUP($A51,'NG-Apr-Bill'!$A$15:$X$96,23)</f>
        <v>0</v>
      </c>
      <c r="F51" s="43">
        <f>VLOOKUP($A51,'NG-May-Bill'!$A$15:$X$96,23)</f>
        <v>0</v>
      </c>
      <c r="G51" s="43">
        <f>VLOOKUP($A51,'NG-Jun-Bill'!$A$15:$X$96,23)</f>
        <v>0</v>
      </c>
      <c r="H51" s="43">
        <f>VLOOKUP($A51,'NG-Jul-Bill'!$A$15:$X$96,23)</f>
        <v>0</v>
      </c>
      <c r="I51" s="43">
        <f>VLOOKUP($A51,'NG-Aug-Bill'!$A$15:$X$96,23)</f>
        <v>0</v>
      </c>
      <c r="J51" s="43">
        <f>VLOOKUP($A51,'NG-Sept-Bill'!$A$15:$X$96,23)</f>
        <v>0</v>
      </c>
      <c r="K51" s="43">
        <f>VLOOKUP($A51,'NG-Oct-Bill'!$A$15:$X$96,23)</f>
        <v>0</v>
      </c>
      <c r="L51" s="43">
        <f>VLOOKUP($A51,'NG-Nov-Bill'!$A$15:$X$96,23)</f>
        <v>0</v>
      </c>
      <c r="M51" s="43">
        <f>VLOOKUP($A51,'NG-Dec-Bill'!$A$15:$X$96,23)</f>
        <v>0</v>
      </c>
      <c r="O51" s="43">
        <f t="shared" si="0"/>
        <v>0</v>
      </c>
    </row>
    <row r="52" spans="1:15" s="43" customFormat="1">
      <c r="A52" s="40">
        <v>3040127109</v>
      </c>
      <c r="B52" s="43">
        <f>VLOOKUP($A52,'NG-Jan-Bill'!$A$15:$X$96,23)</f>
        <v>0</v>
      </c>
      <c r="C52" s="43">
        <f>VLOOKUP($A52,'NG-Feb-Bill'!$A$15:$X$96,23)</f>
        <v>0</v>
      </c>
      <c r="D52" s="43">
        <f>VLOOKUP($A52,'NG_Mar-Bill'!$A$15:$X$96,23)</f>
        <v>0</v>
      </c>
      <c r="E52" s="43">
        <f>VLOOKUP($A52,'NG-Apr-Bill'!$A$15:$X$96,23)</f>
        <v>0</v>
      </c>
      <c r="F52" s="43">
        <f>VLOOKUP($A52,'NG-May-Bill'!$A$15:$X$96,23)</f>
        <v>0</v>
      </c>
      <c r="G52" s="43">
        <f>VLOOKUP($A52,'NG-Jun-Bill'!$A$15:$X$96,23)</f>
        <v>0</v>
      </c>
      <c r="H52" s="43">
        <f>VLOOKUP($A52,'NG-Jul-Bill'!$A$15:$X$96,23)</f>
        <v>0</v>
      </c>
      <c r="I52" s="43">
        <f>VLOOKUP($A52,'NG-Aug-Bill'!$A$15:$X$96,23)</f>
        <v>0</v>
      </c>
      <c r="J52" s="43">
        <f>VLOOKUP($A52,'NG-Sept-Bill'!$A$15:$X$96,23)</f>
        <v>0</v>
      </c>
      <c r="K52" s="43">
        <f>VLOOKUP($A52,'NG-Oct-Bill'!$A$15:$X$96,23)</f>
        <v>0</v>
      </c>
      <c r="L52" s="43">
        <f>VLOOKUP($A52,'NG-Nov-Bill'!$A$15:$X$96,23)</f>
        <v>0</v>
      </c>
      <c r="M52" s="43">
        <f>VLOOKUP($A52,'NG-Dec-Bill'!$A$15:$X$96,23)</f>
        <v>0</v>
      </c>
      <c r="O52" s="43">
        <f t="shared" si="0"/>
        <v>0</v>
      </c>
    </row>
    <row r="53" spans="1:15" s="43" customFormat="1">
      <c r="A53" s="40">
        <v>3128810107</v>
      </c>
      <c r="B53" s="43">
        <f>VLOOKUP($A53,'NG-Jan-Bill'!$A$15:$X$96,23)</f>
        <v>0</v>
      </c>
      <c r="C53" s="43">
        <f>VLOOKUP($A53,'NG-Feb-Bill'!$A$15:$X$96,23)</f>
        <v>0</v>
      </c>
      <c r="D53" s="43">
        <f>VLOOKUP($A53,'NG_Mar-Bill'!$A$15:$X$96,23)</f>
        <v>0</v>
      </c>
      <c r="E53" s="43">
        <f>VLOOKUP($A53,'NG-Apr-Bill'!$A$15:$X$96,23)</f>
        <v>0</v>
      </c>
      <c r="F53" s="43">
        <f>VLOOKUP($A53,'NG-May-Bill'!$A$15:$X$96,23)</f>
        <v>0</v>
      </c>
      <c r="G53" s="43">
        <f>VLOOKUP($A53,'NG-Jun-Bill'!$A$15:$X$96,23)</f>
        <v>0</v>
      </c>
      <c r="H53" s="43">
        <f>VLOOKUP($A53,'NG-Jul-Bill'!$A$15:$X$96,23)</f>
        <v>0</v>
      </c>
      <c r="I53" s="43">
        <f>VLOOKUP($A53,'NG-Aug-Bill'!$A$15:$X$96,23)</f>
        <v>0</v>
      </c>
      <c r="J53" s="43">
        <f>VLOOKUP($A53,'NG-Sept-Bill'!$A$15:$X$96,23)</f>
        <v>0</v>
      </c>
      <c r="K53" s="43">
        <f>VLOOKUP($A53,'NG-Oct-Bill'!$A$15:$X$96,23)</f>
        <v>0</v>
      </c>
      <c r="L53" s="43">
        <f>VLOOKUP($A53,'NG-Nov-Bill'!$A$15:$X$96,23)</f>
        <v>0</v>
      </c>
      <c r="M53" s="43">
        <f>VLOOKUP($A53,'NG-Dec-Bill'!$A$15:$X$96,23)</f>
        <v>0</v>
      </c>
      <c r="O53" s="43">
        <f t="shared" si="0"/>
        <v>0</v>
      </c>
    </row>
    <row r="54" spans="1:15" s="43" customFormat="1">
      <c r="A54" s="40">
        <v>3195056004</v>
      </c>
      <c r="B54" s="43">
        <f>VLOOKUP($A54,'NG-Jan-Bill'!$A$15:$X$96,23)</f>
        <v>0</v>
      </c>
      <c r="C54" s="43">
        <f>VLOOKUP($A54,'NG-Feb-Bill'!$A$15:$X$96,23)</f>
        <v>0</v>
      </c>
      <c r="D54" s="43">
        <f>VLOOKUP($A54,'NG_Mar-Bill'!$A$15:$X$96,23)</f>
        <v>0</v>
      </c>
      <c r="E54" s="43">
        <f>VLOOKUP($A54,'NG-Apr-Bill'!$A$15:$X$96,23)</f>
        <v>0</v>
      </c>
      <c r="F54" s="43">
        <f>VLOOKUP($A54,'NG-May-Bill'!$A$15:$X$96,23)</f>
        <v>0</v>
      </c>
      <c r="G54" s="43">
        <f>VLOOKUP($A54,'NG-Jun-Bill'!$A$15:$X$96,23)</f>
        <v>0</v>
      </c>
      <c r="H54" s="43">
        <f>VLOOKUP($A54,'NG-Jul-Bill'!$A$15:$X$96,23)</f>
        <v>0</v>
      </c>
      <c r="I54" s="43">
        <f>VLOOKUP($A54,'NG-Aug-Bill'!$A$15:$X$96,23)</f>
        <v>0</v>
      </c>
      <c r="J54" s="43">
        <f>VLOOKUP($A54,'NG-Sept-Bill'!$A$15:$X$96,23)</f>
        <v>0</v>
      </c>
      <c r="K54" s="43">
        <f>VLOOKUP($A54,'NG-Oct-Bill'!$A$15:$X$96,23)</f>
        <v>0</v>
      </c>
      <c r="L54" s="43">
        <f>VLOOKUP($A54,'NG-Nov-Bill'!$A$15:$X$96,23)</f>
        <v>0</v>
      </c>
      <c r="M54" s="43">
        <f>VLOOKUP($A54,'NG-Dec-Bill'!$A$15:$X$96,23)</f>
        <v>0</v>
      </c>
      <c r="O54" s="43">
        <f t="shared" si="0"/>
        <v>0</v>
      </c>
    </row>
    <row r="55" spans="1:15" s="43" customFormat="1">
      <c r="A55" s="40">
        <v>3273812135</v>
      </c>
      <c r="B55" s="43">
        <f>VLOOKUP($A55,'NG-Jan-Bill'!$A$15:$X$96,23)</f>
        <v>2</v>
      </c>
      <c r="C55" s="43">
        <f>VLOOKUP($A55,'NG-Feb-Bill'!$A$15:$X$96,23)</f>
        <v>2</v>
      </c>
      <c r="D55" s="43">
        <f>VLOOKUP($A55,'NG_Mar-Bill'!$A$15:$X$96,23)</f>
        <v>3</v>
      </c>
      <c r="E55" s="43">
        <f>VLOOKUP($A55,'NG-Apr-Bill'!$A$15:$X$96,23)</f>
        <v>2</v>
      </c>
      <c r="F55" s="43">
        <f>VLOOKUP($A55,'NG-May-Bill'!$A$15:$X$96,23)</f>
        <v>3</v>
      </c>
      <c r="G55" s="43">
        <f>VLOOKUP($A55,'NG-Jun-Bill'!$A$15:$X$96,23)</f>
        <v>12</v>
      </c>
      <c r="H55" s="43">
        <f>VLOOKUP($A55,'NG-Jul-Bill'!$A$15:$X$96,23)</f>
        <v>3</v>
      </c>
      <c r="I55" s="43">
        <f>VLOOKUP($A55,'NG-Aug-Bill'!$A$15:$X$96,23)</f>
        <v>2</v>
      </c>
      <c r="J55" s="43">
        <f>VLOOKUP($A55,'NG-Sept-Bill'!$A$15:$X$96,23)</f>
        <v>3</v>
      </c>
      <c r="K55" s="43">
        <f>VLOOKUP($A55,'NG-Oct-Bill'!$A$15:$X$96,23)</f>
        <v>2</v>
      </c>
      <c r="L55" s="43">
        <f>VLOOKUP($A55,'NG-Nov-Bill'!$A$15:$X$96,23)</f>
        <v>2</v>
      </c>
      <c r="M55" s="43">
        <f>VLOOKUP($A55,'NG-Dec-Bill'!$A$15:$X$96,23)</f>
        <v>5</v>
      </c>
      <c r="O55" s="43">
        <f t="shared" si="0"/>
        <v>41</v>
      </c>
    </row>
    <row r="56" spans="1:15" s="43" customFormat="1">
      <c r="A56" s="40">
        <v>3293820115</v>
      </c>
      <c r="B56" s="43">
        <f>VLOOKUP($A56,'NG-Jan-Bill'!$A$15:$X$96,23)</f>
        <v>69</v>
      </c>
      <c r="C56" s="43">
        <f>VLOOKUP($A56,'NG-Feb-Bill'!$A$15:$X$96,23)</f>
        <v>57</v>
      </c>
      <c r="D56" s="43">
        <f>VLOOKUP($A56,'NG_Mar-Bill'!$A$15:$X$96,23)</f>
        <v>124</v>
      </c>
      <c r="E56" s="43">
        <f>VLOOKUP($A56,'NG-Apr-Bill'!$A$15:$X$96,23)</f>
        <v>104</v>
      </c>
      <c r="F56" s="43">
        <f>VLOOKUP($A56,'NG-May-Bill'!$A$15:$X$96,23)</f>
        <v>0</v>
      </c>
      <c r="G56" s="43">
        <f>VLOOKUP($A56,'NG-Jun-Bill'!$A$15:$X$96,23)</f>
        <v>46</v>
      </c>
      <c r="H56" s="43">
        <f>VLOOKUP($A56,'NG-Jul-Bill'!$A$15:$X$96,23)</f>
        <v>2</v>
      </c>
      <c r="I56" s="43">
        <f>VLOOKUP($A56,'NG-Aug-Bill'!$A$15:$X$96,23)</f>
        <v>0</v>
      </c>
      <c r="J56" s="43">
        <f>VLOOKUP($A56,'NG-Sept-Bill'!$A$15:$X$96,23)</f>
        <v>0</v>
      </c>
      <c r="K56" s="43">
        <f>VLOOKUP($A56,'NG-Oct-Bill'!$A$15:$X$96,23)</f>
        <v>2</v>
      </c>
      <c r="L56" s="43">
        <f>VLOOKUP($A56,'NG-Nov-Bill'!$A$15:$X$96,23)</f>
        <v>6</v>
      </c>
      <c r="M56" s="43">
        <f>VLOOKUP($A56,'NG-Dec-Bill'!$A$15:$X$96,23)</f>
        <v>77</v>
      </c>
      <c r="O56" s="43">
        <f t="shared" si="0"/>
        <v>487</v>
      </c>
    </row>
    <row r="57" spans="1:15" s="43" customFormat="1">
      <c r="A57" s="40">
        <v>3448808118</v>
      </c>
      <c r="B57" s="43">
        <f>VLOOKUP($A57,'NG-Jan-Bill'!$A$15:$X$96,23)</f>
        <v>0</v>
      </c>
      <c r="C57" s="43">
        <f>VLOOKUP($A57,'NG-Feb-Bill'!$A$15:$X$96,23)</f>
        <v>0</v>
      </c>
      <c r="D57" s="43">
        <f>VLOOKUP($A57,'NG_Mar-Bill'!$A$15:$X$96,23)</f>
        <v>0</v>
      </c>
      <c r="E57" s="43">
        <f>VLOOKUP($A57,'NG-Apr-Bill'!$A$15:$X$96,23)</f>
        <v>0</v>
      </c>
      <c r="F57" s="43">
        <f>VLOOKUP($A57,'NG-May-Bill'!$A$15:$X$96,23)</f>
        <v>0</v>
      </c>
      <c r="G57" s="43">
        <f>VLOOKUP($A57,'NG-Jun-Bill'!$A$15:$X$96,23)</f>
        <v>0</v>
      </c>
      <c r="H57" s="43">
        <f>VLOOKUP($A57,'NG-Jul-Bill'!$A$15:$X$96,23)</f>
        <v>0</v>
      </c>
      <c r="I57" s="43">
        <f>VLOOKUP($A57,'NG-Aug-Bill'!$A$15:$X$96,23)</f>
        <v>0</v>
      </c>
      <c r="J57" s="43">
        <f>VLOOKUP($A57,'NG-Sept-Bill'!$A$15:$X$96,23)</f>
        <v>0</v>
      </c>
      <c r="K57" s="43">
        <f>VLOOKUP($A57,'NG-Oct-Bill'!$A$15:$X$96,23)</f>
        <v>0</v>
      </c>
      <c r="L57" s="43">
        <f>VLOOKUP($A57,'NG-Nov-Bill'!$A$15:$X$96,23)</f>
        <v>0</v>
      </c>
      <c r="M57" s="43">
        <f>VLOOKUP($A57,'NG-Dec-Bill'!$A$15:$X$96,23)</f>
        <v>0</v>
      </c>
      <c r="O57" s="43">
        <f t="shared" si="0"/>
        <v>0</v>
      </c>
    </row>
    <row r="58" spans="1:15" s="43" customFormat="1">
      <c r="A58" s="40">
        <v>3632395006</v>
      </c>
      <c r="B58" s="43">
        <f>VLOOKUP($A58,'NG-Jan-Bill'!$A$15:$X$96,23)</f>
        <v>0</v>
      </c>
      <c r="C58" s="43">
        <f>VLOOKUP($A58,'NG-Feb-Bill'!$A$15:$X$96,23)</f>
        <v>0</v>
      </c>
      <c r="D58" s="43">
        <f>VLOOKUP($A58,'NG_Mar-Bill'!$A$15:$X$96,23)</f>
        <v>0</v>
      </c>
      <c r="E58" s="43">
        <f>VLOOKUP($A58,'NG-Apr-Bill'!$A$15:$X$96,23)</f>
        <v>0</v>
      </c>
      <c r="F58" s="43">
        <f>VLOOKUP($A58,'NG-May-Bill'!$A$15:$X$96,23)</f>
        <v>0</v>
      </c>
      <c r="G58" s="43">
        <f>VLOOKUP($A58,'NG-Jun-Bill'!$A$15:$X$96,23)</f>
        <v>0</v>
      </c>
      <c r="H58" s="43">
        <f>VLOOKUP($A58,'NG-Jul-Bill'!$A$15:$X$96,23)</f>
        <v>0</v>
      </c>
      <c r="I58" s="43">
        <f>VLOOKUP($A58,'NG-Aug-Bill'!$A$15:$X$96,23)</f>
        <v>0</v>
      </c>
      <c r="J58" s="43">
        <f>VLOOKUP($A58,'NG-Sept-Bill'!$A$15:$X$96,23)</f>
        <v>0</v>
      </c>
      <c r="K58" s="43">
        <f>VLOOKUP($A58,'NG-Oct-Bill'!$A$15:$X$96,23)</f>
        <v>0</v>
      </c>
      <c r="L58" s="43">
        <f>VLOOKUP($A58,'NG-Nov-Bill'!$A$15:$X$96,23)</f>
        <v>0</v>
      </c>
      <c r="M58" s="43">
        <f>VLOOKUP($A58,'NG-Dec-Bill'!$A$15:$X$96,23)</f>
        <v>0</v>
      </c>
      <c r="O58" s="43">
        <f t="shared" si="0"/>
        <v>0</v>
      </c>
    </row>
    <row r="59" spans="1:15" s="43" customFormat="1">
      <c r="A59" s="40">
        <v>3753663109</v>
      </c>
      <c r="B59" s="43">
        <f>VLOOKUP($A59,'NG-Jan-Bill'!$A$15:$X$96,23)</f>
        <v>0</v>
      </c>
      <c r="C59" s="43">
        <f>VLOOKUP($A59,'NG-Feb-Bill'!$A$15:$X$96,23)</f>
        <v>0</v>
      </c>
      <c r="D59" s="43">
        <f>VLOOKUP($A59,'NG_Mar-Bill'!$A$15:$X$96,23)</f>
        <v>0</v>
      </c>
      <c r="E59" s="43">
        <f>VLOOKUP($A59,'NG-Apr-Bill'!$A$15:$X$96,23)</f>
        <v>0</v>
      </c>
      <c r="F59" s="43">
        <f>VLOOKUP($A59,'NG-May-Bill'!$A$15:$X$96,23)</f>
        <v>0</v>
      </c>
      <c r="G59" s="43">
        <f>VLOOKUP($A59,'NG-Jun-Bill'!$A$15:$X$96,23)</f>
        <v>0</v>
      </c>
      <c r="H59" s="43">
        <f>VLOOKUP($A59,'NG-Jul-Bill'!$A$15:$X$96,23)</f>
        <v>0</v>
      </c>
      <c r="I59" s="43">
        <f>VLOOKUP($A59,'NG-Aug-Bill'!$A$15:$X$96,23)</f>
        <v>0</v>
      </c>
      <c r="J59" s="43">
        <f>VLOOKUP($A59,'NG-Sept-Bill'!$A$15:$X$96,23)</f>
        <v>0</v>
      </c>
      <c r="K59" s="43">
        <f>VLOOKUP($A59,'NG-Oct-Bill'!$A$15:$X$96,23)</f>
        <v>0</v>
      </c>
      <c r="L59" s="43">
        <f>VLOOKUP($A59,'NG-Nov-Bill'!$A$15:$X$96,23)</f>
        <v>0</v>
      </c>
      <c r="M59" s="43">
        <f>VLOOKUP($A59,'NG-Dec-Bill'!$A$15:$X$96,23)</f>
        <v>0</v>
      </c>
      <c r="O59" s="43">
        <f t="shared" si="0"/>
        <v>0</v>
      </c>
    </row>
    <row r="60" spans="1:15" s="43" customFormat="1">
      <c r="A60" s="40">
        <v>3798043001</v>
      </c>
      <c r="B60" s="43">
        <f>VLOOKUP($A60,'NG-Jan-Bill'!$A$15:$X$96,23)</f>
        <v>0</v>
      </c>
      <c r="C60" s="43">
        <f>VLOOKUP($A60,'NG-Feb-Bill'!$A$15:$X$96,23)</f>
        <v>0</v>
      </c>
      <c r="D60" s="43">
        <f>VLOOKUP($A60,'NG_Mar-Bill'!$A$15:$X$96,23)</f>
        <v>0</v>
      </c>
      <c r="E60" s="43">
        <f>VLOOKUP($A60,'NG-Apr-Bill'!$A$15:$X$96,23)</f>
        <v>0</v>
      </c>
      <c r="F60" s="43">
        <f>VLOOKUP($A60,'NG-May-Bill'!$A$15:$X$96,23)</f>
        <v>0</v>
      </c>
      <c r="G60" s="43">
        <f>VLOOKUP($A60,'NG-Jun-Bill'!$A$15:$X$96,23)</f>
        <v>0</v>
      </c>
      <c r="H60" s="43">
        <f>VLOOKUP($A60,'NG-Jul-Bill'!$A$15:$X$96,23)</f>
        <v>0</v>
      </c>
      <c r="I60" s="43">
        <f>VLOOKUP($A60,'NG-Aug-Bill'!$A$15:$X$96,23)</f>
        <v>0</v>
      </c>
      <c r="J60" s="43">
        <f>VLOOKUP($A60,'NG-Sept-Bill'!$A$15:$X$96,23)</f>
        <v>0</v>
      </c>
      <c r="K60" s="43">
        <f>VLOOKUP($A60,'NG-Oct-Bill'!$A$15:$X$96,23)</f>
        <v>0</v>
      </c>
      <c r="L60" s="43">
        <f>VLOOKUP($A60,'NG-Nov-Bill'!$A$15:$X$96,23)</f>
        <v>0</v>
      </c>
      <c r="M60" s="43">
        <f>VLOOKUP($A60,'NG-Dec-Bill'!$A$15:$X$96,23)</f>
        <v>0</v>
      </c>
      <c r="O60" s="43">
        <f t="shared" si="0"/>
        <v>0</v>
      </c>
    </row>
    <row r="61" spans="1:15" s="43" customFormat="1">
      <c r="A61" s="40">
        <v>3908811104</v>
      </c>
      <c r="B61" s="43">
        <f>VLOOKUP($A61,'NG-Jan-Bill'!$A$15:$X$96,23)</f>
        <v>0</v>
      </c>
      <c r="C61" s="43">
        <f>VLOOKUP($A61,'NG-Feb-Bill'!$A$15:$X$96,23)</f>
        <v>0</v>
      </c>
      <c r="D61" s="43">
        <f>VLOOKUP($A61,'NG_Mar-Bill'!$A$15:$X$96,23)</f>
        <v>0</v>
      </c>
      <c r="E61" s="43">
        <f>VLOOKUP($A61,'NG-Apr-Bill'!$A$15:$X$96,23)</f>
        <v>0</v>
      </c>
      <c r="F61" s="43">
        <f>VLOOKUP($A61,'NG-May-Bill'!$A$15:$X$96,23)</f>
        <v>0</v>
      </c>
      <c r="G61" s="43">
        <f>VLOOKUP($A61,'NG-Jun-Bill'!$A$15:$X$96,23)</f>
        <v>0</v>
      </c>
      <c r="H61" s="43">
        <f>VLOOKUP($A61,'NG-Jul-Bill'!$A$15:$X$96,23)</f>
        <v>0</v>
      </c>
      <c r="I61" s="43">
        <f>VLOOKUP($A61,'NG-Aug-Bill'!$A$15:$X$96,23)</f>
        <v>0</v>
      </c>
      <c r="J61" s="43">
        <f>VLOOKUP($A61,'NG-Sept-Bill'!$A$15:$X$96,23)</f>
        <v>0</v>
      </c>
      <c r="K61" s="43">
        <f>VLOOKUP($A61,'NG-Oct-Bill'!$A$15:$X$96,23)</f>
        <v>0</v>
      </c>
      <c r="L61" s="43">
        <f>VLOOKUP($A61,'NG-Nov-Bill'!$A$15:$X$96,23)</f>
        <v>0</v>
      </c>
      <c r="M61" s="43">
        <f>VLOOKUP($A61,'NG-Dec-Bill'!$A$15:$X$96,23)</f>
        <v>0</v>
      </c>
      <c r="O61" s="43">
        <f t="shared" si="0"/>
        <v>0</v>
      </c>
    </row>
    <row r="62" spans="1:15" s="43" customFormat="1">
      <c r="A62" s="40">
        <v>4153807100</v>
      </c>
      <c r="B62" s="43">
        <f>VLOOKUP($A62,'NG-Jan-Bill'!$A$15:$X$96,23)</f>
        <v>894</v>
      </c>
      <c r="C62" s="43">
        <f>VLOOKUP($A62,'NG-Feb-Bill'!$A$15:$X$96,23)</f>
        <v>965</v>
      </c>
      <c r="D62" s="43">
        <f>VLOOKUP($A62,'NG_Mar-Bill'!$A$15:$X$96,23)</f>
        <v>628</v>
      </c>
      <c r="E62" s="43">
        <f>VLOOKUP($A62,'NG-Apr-Bill'!$A$15:$X$96,23)</f>
        <v>538</v>
      </c>
      <c r="F62" s="43">
        <f>VLOOKUP($A62,'NG-May-Bill'!$A$15:$X$96,23)</f>
        <v>105</v>
      </c>
      <c r="G62" s="43">
        <f>VLOOKUP($A62,'NG-Jun-Bill'!$A$15:$X$96,23)</f>
        <v>14</v>
      </c>
      <c r="H62" s="43">
        <f>VLOOKUP($A62,'NG-Jul-Bill'!$A$15:$X$96,23)</f>
        <v>1</v>
      </c>
      <c r="I62" s="43">
        <f>VLOOKUP($A62,'NG-Aug-Bill'!$A$15:$X$96,23)</f>
        <v>0</v>
      </c>
      <c r="J62" s="43">
        <f>VLOOKUP($A62,'NG-Sept-Bill'!$A$15:$X$96,23)</f>
        <v>0</v>
      </c>
      <c r="K62" s="43">
        <f>VLOOKUP($A62,'NG-Oct-Bill'!$A$15:$X$96,23)</f>
        <v>1</v>
      </c>
      <c r="L62" s="43">
        <f>VLOOKUP($A62,'NG-Nov-Bill'!$A$15:$X$96,23)</f>
        <v>205</v>
      </c>
      <c r="M62" s="43">
        <f>VLOOKUP($A62,'NG-Dec-Bill'!$A$15:$X$96,23)</f>
        <v>749</v>
      </c>
      <c r="O62" s="43">
        <f t="shared" si="0"/>
        <v>4100</v>
      </c>
    </row>
    <row r="63" spans="1:15" s="43" customFormat="1">
      <c r="A63" s="40">
        <v>4153820112</v>
      </c>
      <c r="B63" s="43">
        <f>VLOOKUP($A63,'NG-Jan-Bill'!$A$15:$X$96,23)</f>
        <v>0</v>
      </c>
      <c r="C63" s="43">
        <f>VLOOKUP($A63,'NG-Feb-Bill'!$A$15:$X$96,23)</f>
        <v>0</v>
      </c>
      <c r="D63" s="43">
        <f>VLOOKUP($A63,'NG_Mar-Bill'!$A$15:$X$96,23)</f>
        <v>0</v>
      </c>
      <c r="E63" s="43">
        <f>VLOOKUP($A63,'NG-Apr-Bill'!$A$15:$X$96,23)</f>
        <v>0</v>
      </c>
      <c r="F63" s="43">
        <f>VLOOKUP($A63,'NG-May-Bill'!$A$15:$X$96,23)</f>
        <v>0</v>
      </c>
      <c r="G63" s="43">
        <f>VLOOKUP($A63,'NG-Jun-Bill'!$A$15:$X$96,23)</f>
        <v>0</v>
      </c>
      <c r="H63" s="43">
        <f>VLOOKUP($A63,'NG-Jul-Bill'!$A$15:$X$96,23)</f>
        <v>0</v>
      </c>
      <c r="I63" s="43">
        <f>VLOOKUP($A63,'NG-Aug-Bill'!$A$15:$X$96,23)</f>
        <v>0</v>
      </c>
      <c r="J63" s="43">
        <f>VLOOKUP($A63,'NG-Sept-Bill'!$A$15:$X$96,23)</f>
        <v>0</v>
      </c>
      <c r="K63" s="43">
        <f>VLOOKUP($A63,'NG-Oct-Bill'!$A$15:$X$96,23)</f>
        <v>0</v>
      </c>
      <c r="L63" s="43">
        <f>VLOOKUP($A63,'NG-Nov-Bill'!$A$15:$X$96,23)</f>
        <v>0</v>
      </c>
      <c r="M63" s="43">
        <f>VLOOKUP($A63,'NG-Dec-Bill'!$A$15:$X$96,23)</f>
        <v>0</v>
      </c>
      <c r="O63" s="43">
        <f t="shared" si="0"/>
        <v>0</v>
      </c>
    </row>
    <row r="64" spans="1:15" s="43" customFormat="1">
      <c r="A64" s="40">
        <v>4308810115</v>
      </c>
      <c r="B64" s="43">
        <f>VLOOKUP($A64,'NG-Jan-Bill'!$A$15:$X$96,23)</f>
        <v>0</v>
      </c>
      <c r="C64" s="43">
        <f>VLOOKUP($A64,'NG-Feb-Bill'!$A$15:$X$96,23)</f>
        <v>0</v>
      </c>
      <c r="D64" s="43">
        <f>VLOOKUP($A64,'NG_Mar-Bill'!$A$15:$X$96,23)</f>
        <v>0</v>
      </c>
      <c r="E64" s="43">
        <f>VLOOKUP($A64,'NG-Apr-Bill'!$A$15:$X$96,23)</f>
        <v>0</v>
      </c>
      <c r="F64" s="43">
        <f>VLOOKUP($A64,'NG-May-Bill'!$A$15:$X$96,23)</f>
        <v>0</v>
      </c>
      <c r="G64" s="43">
        <f>VLOOKUP($A64,'NG-Jun-Bill'!$A$15:$X$96,23)</f>
        <v>0</v>
      </c>
      <c r="H64" s="43">
        <f>VLOOKUP($A64,'NG-Jul-Bill'!$A$15:$X$96,23)</f>
        <v>0</v>
      </c>
      <c r="I64" s="43">
        <f>VLOOKUP($A64,'NG-Aug-Bill'!$A$15:$X$96,23)</f>
        <v>0</v>
      </c>
      <c r="J64" s="43">
        <f>VLOOKUP($A64,'NG-Sept-Bill'!$A$15:$X$96,23)</f>
        <v>0</v>
      </c>
      <c r="K64" s="43">
        <f>VLOOKUP($A64,'NG-Oct-Bill'!$A$15:$X$96,23)</f>
        <v>0</v>
      </c>
      <c r="L64" s="43">
        <f>VLOOKUP($A64,'NG-Nov-Bill'!$A$15:$X$96,23)</f>
        <v>0</v>
      </c>
      <c r="M64" s="43">
        <f>VLOOKUP($A64,'NG-Dec-Bill'!$A$15:$X$96,23)</f>
        <v>0</v>
      </c>
      <c r="O64" s="43">
        <f t="shared" si="0"/>
        <v>0</v>
      </c>
    </row>
    <row r="65" spans="1:15" s="43" customFormat="1">
      <c r="A65" s="40">
        <v>4399122004</v>
      </c>
      <c r="B65" s="43">
        <f>VLOOKUP($A65,'NG-Jan-Bill'!$A$15:$X$96,23)</f>
        <v>116</v>
      </c>
      <c r="C65" s="43">
        <f>VLOOKUP($A65,'NG-Feb-Bill'!$A$15:$X$96,23)</f>
        <v>136</v>
      </c>
      <c r="D65" s="43">
        <f>VLOOKUP($A65,'NG_Mar-Bill'!$A$15:$X$96,23)</f>
        <v>113</v>
      </c>
      <c r="E65" s="43">
        <f>VLOOKUP($A65,'NG-Apr-Bill'!$A$15:$X$96,23)</f>
        <v>97</v>
      </c>
      <c r="F65" s="43">
        <f>VLOOKUP($A65,'NG-May-Bill'!$A$15:$X$96,23)</f>
        <v>22</v>
      </c>
      <c r="G65" s="43">
        <f>VLOOKUP($A65,'NG-Jun-Bill'!$A$15:$X$96,23)</f>
        <v>0</v>
      </c>
      <c r="H65" s="43">
        <f>VLOOKUP($A65,'NG-Jul-Bill'!$A$15:$X$96,23)</f>
        <v>0</v>
      </c>
      <c r="I65" s="43">
        <f>VLOOKUP($A65,'NG-Aug-Bill'!$A$15:$X$96,23)</f>
        <v>0</v>
      </c>
      <c r="J65" s="43">
        <f>VLOOKUP($A65,'NG-Sept-Bill'!$A$15:$X$96,23)</f>
        <v>0</v>
      </c>
      <c r="K65" s="43">
        <f>VLOOKUP($A65,'NG-Oct-Bill'!$A$15:$X$96,23)</f>
        <v>7</v>
      </c>
      <c r="L65" s="43">
        <f>VLOOKUP($A65,'NG-Nov-Bill'!$A$15:$X$96,23)</f>
        <v>67</v>
      </c>
      <c r="M65" s="43">
        <f>VLOOKUP($A65,'NG-Dec-Bill'!$A$15:$X$96,23)</f>
        <v>119</v>
      </c>
      <c r="O65" s="43">
        <f t="shared" si="0"/>
        <v>677</v>
      </c>
    </row>
    <row r="66" spans="1:15" s="43" customFormat="1">
      <c r="A66" s="40">
        <v>4513814101</v>
      </c>
      <c r="B66" s="43">
        <f>VLOOKUP($A66,'NG-Jan-Bill'!$A$15:$X$96,23)</f>
        <v>345</v>
      </c>
      <c r="C66" s="43">
        <f>VLOOKUP($A66,'NG-Feb-Bill'!$A$15:$X$96,23)</f>
        <v>331</v>
      </c>
      <c r="D66" s="43">
        <f>VLOOKUP($A66,'NG_Mar-Bill'!$A$15:$X$96,23)</f>
        <v>229</v>
      </c>
      <c r="E66" s="43">
        <f>VLOOKUP($A66,'NG-Apr-Bill'!$A$15:$X$96,23)</f>
        <v>215</v>
      </c>
      <c r="F66" s="43">
        <f>VLOOKUP($A66,'NG-May-Bill'!$A$15:$X$96,23)</f>
        <v>54</v>
      </c>
      <c r="G66" s="43">
        <f>VLOOKUP($A66,'NG-Jun-Bill'!$A$15:$X$96,23)</f>
        <v>12</v>
      </c>
      <c r="H66" s="43">
        <f>VLOOKUP($A66,'NG-Jul-Bill'!$A$15:$X$96,23)</f>
        <v>8</v>
      </c>
      <c r="I66" s="43">
        <f>VLOOKUP($A66,'NG-Aug-Bill'!$A$15:$X$96,23)</f>
        <v>9</v>
      </c>
      <c r="J66" s="43">
        <f>VLOOKUP($A66,'NG-Sept-Bill'!$A$15:$X$96,23)</f>
        <v>10</v>
      </c>
      <c r="K66" s="43">
        <f>VLOOKUP($A66,'NG-Oct-Bill'!$A$15:$X$96,23)</f>
        <v>25</v>
      </c>
      <c r="L66" s="43">
        <f>VLOOKUP($A66,'NG-Nov-Bill'!$A$15:$X$96,23)</f>
        <v>113</v>
      </c>
      <c r="M66" s="43">
        <f>VLOOKUP($A66,'NG-Dec-Bill'!$A$15:$X$96,23)</f>
        <v>398</v>
      </c>
      <c r="O66" s="43">
        <f t="shared" si="0"/>
        <v>1749</v>
      </c>
    </row>
    <row r="67" spans="1:15" s="43" customFormat="1">
      <c r="A67" s="40">
        <v>4533881110</v>
      </c>
      <c r="B67" s="43">
        <f>VLOOKUP($A67,'NG-Jan-Bill'!$A$15:$X$96,23)</f>
        <v>0</v>
      </c>
      <c r="C67" s="43">
        <f>VLOOKUP($A67,'NG-Feb-Bill'!$A$15:$X$96,23)</f>
        <v>0</v>
      </c>
      <c r="D67" s="43">
        <f>VLOOKUP($A67,'NG_Mar-Bill'!$A$15:$X$96,23)</f>
        <v>0</v>
      </c>
      <c r="E67" s="43">
        <f>VLOOKUP($A67,'NG-Apr-Bill'!$A$15:$X$96,23)</f>
        <v>0</v>
      </c>
      <c r="F67" s="43">
        <f>VLOOKUP($A67,'NG-May-Bill'!$A$15:$X$96,23)</f>
        <v>0</v>
      </c>
      <c r="G67" s="43">
        <f>VLOOKUP($A67,'NG-Jun-Bill'!$A$15:$X$96,23)</f>
        <v>0</v>
      </c>
      <c r="H67" s="43">
        <f>VLOOKUP($A67,'NG-Jul-Bill'!$A$15:$X$96,23)</f>
        <v>0</v>
      </c>
      <c r="I67" s="43">
        <f>VLOOKUP($A67,'NG-Aug-Bill'!$A$15:$X$96,23)</f>
        <v>0</v>
      </c>
      <c r="J67" s="43">
        <f>VLOOKUP($A67,'NG-Sept-Bill'!$A$15:$X$96,23)</f>
        <v>0</v>
      </c>
      <c r="K67" s="43">
        <f>VLOOKUP($A67,'NG-Oct-Bill'!$A$15:$X$96,23)</f>
        <v>0</v>
      </c>
      <c r="L67" s="43">
        <f>VLOOKUP($A67,'NG-Nov-Bill'!$A$15:$X$96,23)</f>
        <v>0</v>
      </c>
      <c r="M67" s="43">
        <f>VLOOKUP($A67,'NG-Dec-Bill'!$A$15:$X$96,23)</f>
        <v>0</v>
      </c>
      <c r="O67" s="43">
        <f t="shared" si="0"/>
        <v>0</v>
      </c>
    </row>
    <row r="68" spans="1:15" s="43" customFormat="1">
      <c r="A68" s="40">
        <v>4568811105</v>
      </c>
      <c r="B68" s="43">
        <f>VLOOKUP($A68,'NG-Jan-Bill'!$A$15:$X$96,23)</f>
        <v>0</v>
      </c>
      <c r="C68" s="43">
        <f>VLOOKUP($A68,'NG-Feb-Bill'!$A$15:$X$96,23)</f>
        <v>0</v>
      </c>
      <c r="D68" s="43">
        <f>VLOOKUP($A68,'NG_Mar-Bill'!$A$15:$X$96,23)</f>
        <v>0</v>
      </c>
      <c r="E68" s="43">
        <f>VLOOKUP($A68,'NG-Apr-Bill'!$A$15:$X$96,23)</f>
        <v>0</v>
      </c>
      <c r="F68" s="43">
        <f>VLOOKUP($A68,'NG-May-Bill'!$A$15:$X$96,23)</f>
        <v>0</v>
      </c>
      <c r="G68" s="43">
        <f>VLOOKUP($A68,'NG-Jun-Bill'!$A$15:$X$96,23)</f>
        <v>0</v>
      </c>
      <c r="H68" s="43">
        <f>VLOOKUP($A68,'NG-Jul-Bill'!$A$15:$X$96,23)</f>
        <v>0</v>
      </c>
      <c r="I68" s="43">
        <f>VLOOKUP($A68,'NG-Aug-Bill'!$A$15:$X$96,23)</f>
        <v>0</v>
      </c>
      <c r="J68" s="43">
        <f>VLOOKUP($A68,'NG-Sept-Bill'!$A$15:$X$96,23)</f>
        <v>0</v>
      </c>
      <c r="K68" s="43">
        <f>VLOOKUP($A68,'NG-Oct-Bill'!$A$15:$X$96,23)</f>
        <v>0</v>
      </c>
      <c r="L68" s="43">
        <f>VLOOKUP($A68,'NG-Nov-Bill'!$A$15:$X$96,23)</f>
        <v>0</v>
      </c>
      <c r="M68" s="43">
        <f>VLOOKUP($A68,'NG-Dec-Bill'!$A$15:$X$96,23)</f>
        <v>0</v>
      </c>
      <c r="O68" s="43">
        <f t="shared" si="0"/>
        <v>0</v>
      </c>
    </row>
    <row r="69" spans="1:15" s="43" customFormat="1">
      <c r="A69" s="40">
        <v>4588811101</v>
      </c>
      <c r="B69" s="43">
        <f>VLOOKUP($A69,'NG-Jan-Bill'!$A$15:$X$96,23)</f>
        <v>0</v>
      </c>
      <c r="C69" s="43">
        <f>VLOOKUP($A69,'NG-Feb-Bill'!$A$15:$X$96,23)</f>
        <v>0</v>
      </c>
      <c r="D69" s="43">
        <f>VLOOKUP($A69,'NG_Mar-Bill'!$A$15:$X$96,23)</f>
        <v>0</v>
      </c>
      <c r="E69" s="43">
        <f>VLOOKUP($A69,'NG-Apr-Bill'!$A$15:$X$96,23)</f>
        <v>0</v>
      </c>
      <c r="F69" s="43">
        <f>VLOOKUP($A69,'NG-May-Bill'!$A$15:$X$96,23)</f>
        <v>0</v>
      </c>
      <c r="G69" s="43">
        <f>VLOOKUP($A69,'NG-Jun-Bill'!$A$15:$X$96,23)</f>
        <v>0</v>
      </c>
      <c r="H69" s="43">
        <f>VLOOKUP($A69,'NG-Jul-Bill'!$A$15:$X$96,23)</f>
        <v>0</v>
      </c>
      <c r="I69" s="43">
        <f>VLOOKUP($A69,'NG-Aug-Bill'!$A$15:$X$96,23)</f>
        <v>0</v>
      </c>
      <c r="J69" s="43">
        <f>VLOOKUP($A69,'NG-Sept-Bill'!$A$15:$X$96,23)</f>
        <v>0</v>
      </c>
      <c r="K69" s="43">
        <f>VLOOKUP($A69,'NG-Oct-Bill'!$A$15:$X$96,23)</f>
        <v>0</v>
      </c>
      <c r="L69" s="43">
        <f>VLOOKUP($A69,'NG-Nov-Bill'!$A$15:$X$96,23)</f>
        <v>0</v>
      </c>
      <c r="M69" s="43">
        <f>VLOOKUP($A69,'NG-Dec-Bill'!$A$15:$X$96,23)</f>
        <v>0</v>
      </c>
      <c r="O69" s="43">
        <f t="shared" si="0"/>
        <v>0</v>
      </c>
    </row>
    <row r="70" spans="1:15" s="43" customFormat="1">
      <c r="A70" s="40">
        <v>4794009102</v>
      </c>
      <c r="B70" s="43">
        <f>VLOOKUP($A70,'NG-Jan-Bill'!$A$15:$X$96,23)</f>
        <v>4</v>
      </c>
      <c r="C70" s="43">
        <f>VLOOKUP($A70,'NG-Feb-Bill'!$A$15:$X$96,23)</f>
        <v>4</v>
      </c>
      <c r="D70" s="43">
        <f>VLOOKUP($A70,'NG_Mar-Bill'!$A$15:$X$96,23)</f>
        <v>4</v>
      </c>
      <c r="E70" s="43">
        <f>VLOOKUP($A70,'NG-Apr-Bill'!$A$15:$X$96,23)</f>
        <v>4</v>
      </c>
      <c r="F70" s="43">
        <f>VLOOKUP($A70,'NG-May-Bill'!$A$15:$X$96,23)</f>
        <v>4</v>
      </c>
      <c r="G70" s="43">
        <f>VLOOKUP($A70,'NG-Jun-Bill'!$A$15:$X$96,23)</f>
        <v>10</v>
      </c>
      <c r="H70" s="43">
        <f>VLOOKUP($A70,'NG-Jul-Bill'!$A$15:$X$96,23)</f>
        <v>10</v>
      </c>
      <c r="I70" s="43">
        <f>VLOOKUP($A70,'NG-Aug-Bill'!$A$15:$X$96,23)</f>
        <v>6</v>
      </c>
      <c r="J70" s="43">
        <f>VLOOKUP($A70,'NG-Sept-Bill'!$A$15:$X$96,23)</f>
        <v>4</v>
      </c>
      <c r="K70" s="43">
        <f>VLOOKUP($A70,'NG-Oct-Bill'!$A$15:$X$96,23)</f>
        <v>6</v>
      </c>
      <c r="L70" s="43">
        <f>VLOOKUP($A70,'NG-Nov-Bill'!$A$15:$X$96,23)</f>
        <v>3</v>
      </c>
      <c r="M70" s="43">
        <f>VLOOKUP($A70,'NG-Dec-Bill'!$A$15:$X$96,23)</f>
        <v>4</v>
      </c>
      <c r="O70" s="43">
        <f t="shared" si="0"/>
        <v>63</v>
      </c>
    </row>
    <row r="71" spans="1:15" s="43" customFormat="1">
      <c r="A71" s="40">
        <v>5048811100</v>
      </c>
      <c r="B71" s="43">
        <f>VLOOKUP($A71,'NG-Jan-Bill'!$A$15:$X$96,23)</f>
        <v>0</v>
      </c>
      <c r="C71" s="43">
        <f>VLOOKUP($A71,'NG-Feb-Bill'!$A$15:$X$96,23)</f>
        <v>0</v>
      </c>
      <c r="D71" s="43">
        <f>VLOOKUP($A71,'NG_Mar-Bill'!$A$15:$X$96,23)</f>
        <v>0</v>
      </c>
      <c r="E71" s="43">
        <f>VLOOKUP($A71,'NG-Apr-Bill'!$A$15:$X$96,23)</f>
        <v>0</v>
      </c>
      <c r="F71" s="43">
        <f>VLOOKUP($A71,'NG-May-Bill'!$A$15:$X$96,23)</f>
        <v>0</v>
      </c>
      <c r="G71" s="43">
        <f>VLOOKUP($A71,'NG-Jun-Bill'!$A$15:$X$96,23)</f>
        <v>0</v>
      </c>
      <c r="H71" s="43">
        <f>VLOOKUP($A71,'NG-Jul-Bill'!$A$15:$X$96,23)</f>
        <v>0</v>
      </c>
      <c r="I71" s="43">
        <f>VLOOKUP($A71,'NG-Aug-Bill'!$A$15:$X$96,23)</f>
        <v>0</v>
      </c>
      <c r="J71" s="43">
        <f>VLOOKUP($A71,'NG-Sept-Bill'!$A$15:$X$96,23)</f>
        <v>0</v>
      </c>
      <c r="K71" s="43">
        <f>VLOOKUP($A71,'NG-Oct-Bill'!$A$15:$X$96,23)</f>
        <v>0</v>
      </c>
      <c r="L71" s="43">
        <f>VLOOKUP($A71,'NG-Nov-Bill'!$A$15:$X$96,23)</f>
        <v>0</v>
      </c>
      <c r="M71" s="43">
        <f>VLOOKUP($A71,'NG-Dec-Bill'!$A$15:$X$96,23)</f>
        <v>0</v>
      </c>
      <c r="O71" s="43">
        <f t="shared" si="0"/>
        <v>0</v>
      </c>
    </row>
    <row r="72" spans="1:15" s="43" customFormat="1">
      <c r="A72" s="40">
        <v>5293880104</v>
      </c>
      <c r="B72" s="43">
        <f>VLOOKUP($A72,'NG-Jan-Bill'!$A$15:$X$96,23)</f>
        <v>0</v>
      </c>
      <c r="C72" s="43">
        <f>VLOOKUP($A72,'NG-Feb-Bill'!$A$15:$X$96,23)</f>
        <v>0</v>
      </c>
      <c r="D72" s="43">
        <f>VLOOKUP($A72,'NG_Mar-Bill'!$A$15:$X$96,23)</f>
        <v>0</v>
      </c>
      <c r="E72" s="43">
        <f>VLOOKUP($A72,'NG-Apr-Bill'!$A$15:$X$96,23)</f>
        <v>0</v>
      </c>
      <c r="F72" s="43">
        <f>VLOOKUP($A72,'NG-May-Bill'!$A$15:$X$96,23)</f>
        <v>0</v>
      </c>
      <c r="G72" s="43">
        <f>VLOOKUP($A72,'NG-Jun-Bill'!$A$15:$X$96,23)</f>
        <v>0</v>
      </c>
      <c r="H72" s="43">
        <f>VLOOKUP($A72,'NG-Jul-Bill'!$A$15:$X$96,23)</f>
        <v>0</v>
      </c>
      <c r="I72" s="43">
        <f>VLOOKUP($A72,'NG-Aug-Bill'!$A$15:$X$96,23)</f>
        <v>0</v>
      </c>
      <c r="J72" s="43">
        <f>VLOOKUP($A72,'NG-Sept-Bill'!$A$15:$X$96,23)</f>
        <v>0</v>
      </c>
      <c r="K72" s="43">
        <f>VLOOKUP($A72,'NG-Oct-Bill'!$A$15:$X$96,23)</f>
        <v>0</v>
      </c>
      <c r="L72" s="43">
        <f>VLOOKUP($A72,'NG-Nov-Bill'!$A$15:$X$96,23)</f>
        <v>0</v>
      </c>
      <c r="M72" s="43">
        <f>VLOOKUP($A72,'NG-Dec-Bill'!$A$15:$X$96,23)</f>
        <v>0</v>
      </c>
      <c r="O72" s="43">
        <f t="shared" si="0"/>
        <v>0</v>
      </c>
    </row>
    <row r="73" spans="1:15" s="43" customFormat="1">
      <c r="A73" s="40">
        <v>5333812119</v>
      </c>
      <c r="B73" s="43">
        <f>VLOOKUP($A73,'NG-Jan-Bill'!$A$15:$X$96,23)</f>
        <v>0</v>
      </c>
      <c r="C73" s="43">
        <f>VLOOKUP($A73,'NG-Feb-Bill'!$A$15:$X$96,23)</f>
        <v>0</v>
      </c>
      <c r="D73" s="43">
        <f>VLOOKUP($A73,'NG_Mar-Bill'!$A$15:$X$96,23)</f>
        <v>0</v>
      </c>
      <c r="E73" s="43">
        <f>VLOOKUP($A73,'NG-Apr-Bill'!$A$15:$X$96,23)</f>
        <v>0</v>
      </c>
      <c r="F73" s="43">
        <f>VLOOKUP($A73,'NG-May-Bill'!$A$15:$X$96,23)</f>
        <v>0</v>
      </c>
      <c r="G73" s="43">
        <f>VLOOKUP($A73,'NG-Jun-Bill'!$A$15:$X$96,23)</f>
        <v>0</v>
      </c>
      <c r="H73" s="43">
        <f>VLOOKUP($A73,'NG-Jul-Bill'!$A$15:$X$96,23)</f>
        <v>0</v>
      </c>
      <c r="I73" s="43">
        <f>VLOOKUP($A73,'NG-Aug-Bill'!$A$15:$X$96,23)</f>
        <v>0</v>
      </c>
      <c r="J73" s="43">
        <f>VLOOKUP($A73,'NG-Sept-Bill'!$A$15:$X$96,23)</f>
        <v>0</v>
      </c>
      <c r="K73" s="43">
        <f>VLOOKUP($A73,'NG-Oct-Bill'!$A$15:$X$96,23)</f>
        <v>0</v>
      </c>
      <c r="L73" s="43">
        <f>VLOOKUP($A73,'NG-Nov-Bill'!$A$15:$X$96,23)</f>
        <v>0</v>
      </c>
      <c r="M73" s="43">
        <f>VLOOKUP($A73,'NG-Dec-Bill'!$A$15:$X$96,23)</f>
        <v>0</v>
      </c>
      <c r="O73" s="43">
        <f t="shared" si="0"/>
        <v>0</v>
      </c>
    </row>
    <row r="74" spans="1:15" s="43" customFormat="1">
      <c r="A74" s="40">
        <v>5513812108</v>
      </c>
      <c r="B74" s="43">
        <f>VLOOKUP($A74,'NG-Jan-Bill'!$A$15:$X$96,23)</f>
        <v>0</v>
      </c>
      <c r="C74" s="43">
        <f>VLOOKUP($A74,'NG-Feb-Bill'!$A$15:$X$96,23)</f>
        <v>0</v>
      </c>
      <c r="D74" s="43">
        <f>VLOOKUP($A74,'NG_Mar-Bill'!$A$15:$X$96,23)</f>
        <v>0</v>
      </c>
      <c r="E74" s="43">
        <f>VLOOKUP($A74,'NG-Apr-Bill'!$A$15:$X$96,23)</f>
        <v>0</v>
      </c>
      <c r="F74" s="43">
        <f>VLOOKUP($A74,'NG-May-Bill'!$A$15:$X$96,23)</f>
        <v>0</v>
      </c>
      <c r="G74" s="43">
        <f>VLOOKUP($A74,'NG-Jun-Bill'!$A$15:$X$96,23)</f>
        <v>0</v>
      </c>
      <c r="H74" s="43">
        <f>VLOOKUP($A74,'NG-Jul-Bill'!$A$15:$X$96,23)</f>
        <v>0</v>
      </c>
      <c r="I74" s="43">
        <f>VLOOKUP($A74,'NG-Aug-Bill'!$A$15:$X$96,23)</f>
        <v>0</v>
      </c>
      <c r="J74" s="43">
        <f>VLOOKUP($A74,'NG-Sept-Bill'!$A$15:$X$96,23)</f>
        <v>0</v>
      </c>
      <c r="K74" s="43">
        <f>VLOOKUP($A74,'NG-Oct-Bill'!$A$15:$X$96,23)</f>
        <v>0</v>
      </c>
      <c r="L74" s="43">
        <f>VLOOKUP($A74,'NG-Nov-Bill'!$A$15:$X$96,23)</f>
        <v>0</v>
      </c>
      <c r="M74" s="43">
        <f>VLOOKUP($A74,'NG-Dec-Bill'!$A$15:$X$96,23)</f>
        <v>0</v>
      </c>
      <c r="O74" s="43">
        <f t="shared" si="0"/>
        <v>0</v>
      </c>
    </row>
    <row r="75" spans="1:15" s="43" customFormat="1">
      <c r="A75" s="40">
        <v>5613808124</v>
      </c>
      <c r="B75" s="43">
        <f>VLOOKUP($A75,'NG-Jan-Bill'!$A$15:$X$96,23)</f>
        <v>0</v>
      </c>
      <c r="C75" s="43">
        <f>VLOOKUP($A75,'NG-Feb-Bill'!$A$15:$X$96,23)</f>
        <v>0</v>
      </c>
      <c r="D75" s="43">
        <f>VLOOKUP($A75,'NG_Mar-Bill'!$A$15:$X$96,23)</f>
        <v>0</v>
      </c>
      <c r="E75" s="43">
        <f>VLOOKUP($A75,'NG-Apr-Bill'!$A$15:$X$96,23)</f>
        <v>0</v>
      </c>
      <c r="F75" s="43">
        <f>VLOOKUP($A75,'NG-May-Bill'!$A$15:$X$96,23)</f>
        <v>0</v>
      </c>
      <c r="G75" s="43">
        <f>VLOOKUP($A75,'NG-Jun-Bill'!$A$15:$X$96,23)</f>
        <v>0</v>
      </c>
      <c r="H75" s="43">
        <f>VLOOKUP($A75,'NG-Jul-Bill'!$A$15:$X$96,23)</f>
        <v>0</v>
      </c>
      <c r="I75" s="43">
        <f>VLOOKUP($A75,'NG-Aug-Bill'!$A$15:$X$96,23)</f>
        <v>0</v>
      </c>
      <c r="J75" s="43">
        <f>VLOOKUP($A75,'NG-Sept-Bill'!$A$15:$X$96,23)</f>
        <v>0</v>
      </c>
      <c r="K75" s="43">
        <f>VLOOKUP($A75,'NG-Oct-Bill'!$A$15:$X$96,23)</f>
        <v>0</v>
      </c>
      <c r="L75" s="43">
        <f>VLOOKUP($A75,'NG-Nov-Bill'!$A$15:$X$96,23)</f>
        <v>0</v>
      </c>
      <c r="M75" s="43">
        <f>VLOOKUP($A75,'NG-Dec-Bill'!$A$15:$X$96,23)</f>
        <v>0</v>
      </c>
      <c r="O75" s="43">
        <f t="shared" si="0"/>
        <v>0</v>
      </c>
    </row>
    <row r="76" spans="1:15" s="43" customFormat="1">
      <c r="A76" s="40">
        <v>5668811108</v>
      </c>
      <c r="B76" s="43">
        <f>VLOOKUP($A76,'NG-Jan-Bill'!$A$15:$X$96,23)</f>
        <v>0</v>
      </c>
      <c r="C76" s="43">
        <f>VLOOKUP($A76,'NG-Feb-Bill'!$A$15:$X$96,23)</f>
        <v>0</v>
      </c>
      <c r="D76" s="43">
        <f>VLOOKUP($A76,'NG_Mar-Bill'!$A$15:$X$96,23)</f>
        <v>0</v>
      </c>
      <c r="E76" s="43">
        <f>VLOOKUP($A76,'NG-Apr-Bill'!$A$15:$X$96,23)</f>
        <v>0</v>
      </c>
      <c r="F76" s="43">
        <f>VLOOKUP($A76,'NG-May-Bill'!$A$15:$X$96,23)</f>
        <v>0</v>
      </c>
      <c r="G76" s="43">
        <f>VLOOKUP($A76,'NG-Jun-Bill'!$A$15:$X$96,23)</f>
        <v>0</v>
      </c>
      <c r="H76" s="43">
        <f>VLOOKUP($A76,'NG-Jul-Bill'!$A$15:$X$96,23)</f>
        <v>0</v>
      </c>
      <c r="I76" s="43">
        <f>VLOOKUP($A76,'NG-Aug-Bill'!$A$15:$X$96,23)</f>
        <v>0</v>
      </c>
      <c r="J76" s="43">
        <f>VLOOKUP($A76,'NG-Sept-Bill'!$A$15:$X$96,23)</f>
        <v>0</v>
      </c>
      <c r="K76" s="43">
        <f>VLOOKUP($A76,'NG-Oct-Bill'!$A$15:$X$96,23)</f>
        <v>0</v>
      </c>
      <c r="L76" s="43">
        <f>VLOOKUP($A76,'NG-Nov-Bill'!$A$15:$X$96,23)</f>
        <v>0</v>
      </c>
      <c r="M76" s="43">
        <f>VLOOKUP($A76,'NG-Dec-Bill'!$A$15:$X$96,23)</f>
        <v>0</v>
      </c>
      <c r="O76" s="43">
        <f t="shared" si="0"/>
        <v>0</v>
      </c>
    </row>
    <row r="77" spans="1:15" s="43" customFormat="1">
      <c r="A77" s="40">
        <v>5748811104</v>
      </c>
      <c r="B77" s="43">
        <f>VLOOKUP($A77,'NG-Jan-Bill'!$A$15:$X$96,23)</f>
        <v>0</v>
      </c>
      <c r="C77" s="43">
        <f>VLOOKUP($A77,'NG-Feb-Bill'!$A$15:$X$96,23)</f>
        <v>0</v>
      </c>
      <c r="D77" s="43">
        <f>VLOOKUP($A77,'NG_Mar-Bill'!$A$15:$X$96,23)</f>
        <v>0</v>
      </c>
      <c r="E77" s="43">
        <f>VLOOKUP($A77,'NG-Apr-Bill'!$A$15:$X$96,23)</f>
        <v>0</v>
      </c>
      <c r="F77" s="43">
        <f>VLOOKUP($A77,'NG-May-Bill'!$A$15:$X$96,23)</f>
        <v>0</v>
      </c>
      <c r="G77" s="43">
        <f>VLOOKUP($A77,'NG-Jun-Bill'!$A$15:$X$96,23)</f>
        <v>0</v>
      </c>
      <c r="H77" s="43">
        <f>VLOOKUP($A77,'NG-Jul-Bill'!$A$15:$X$96,23)</f>
        <v>0</v>
      </c>
      <c r="I77" s="43">
        <f>VLOOKUP($A77,'NG-Aug-Bill'!$A$15:$X$96,23)</f>
        <v>0</v>
      </c>
      <c r="J77" s="43">
        <f>VLOOKUP($A77,'NG-Sept-Bill'!$A$15:$X$96,23)</f>
        <v>0</v>
      </c>
      <c r="K77" s="43">
        <f>VLOOKUP($A77,'NG-Oct-Bill'!$A$15:$X$96,23)</f>
        <v>0</v>
      </c>
      <c r="L77" s="43">
        <f>VLOOKUP($A77,'NG-Nov-Bill'!$A$15:$X$96,23)</f>
        <v>0</v>
      </c>
      <c r="M77" s="43">
        <f>VLOOKUP($A77,'NG-Dec-Bill'!$A$15:$X$96,23)</f>
        <v>0</v>
      </c>
      <c r="O77" s="43">
        <f t="shared" si="0"/>
        <v>0</v>
      </c>
    </row>
    <row r="78" spans="1:15" s="43" customFormat="1">
      <c r="A78" s="40">
        <v>5828811100</v>
      </c>
      <c r="B78" s="43">
        <f>VLOOKUP($A78,'NG-Jan-Bill'!$A$15:$X$96,23)</f>
        <v>0</v>
      </c>
      <c r="C78" s="43">
        <f>VLOOKUP($A78,'NG-Feb-Bill'!$A$15:$X$96,23)</f>
        <v>0</v>
      </c>
      <c r="D78" s="43">
        <f>VLOOKUP($A78,'NG_Mar-Bill'!$A$15:$X$96,23)</f>
        <v>0</v>
      </c>
      <c r="E78" s="43">
        <f>VLOOKUP($A78,'NG-Apr-Bill'!$A$15:$X$96,23)</f>
        <v>0</v>
      </c>
      <c r="F78" s="43">
        <f>VLOOKUP($A78,'NG-May-Bill'!$A$15:$X$96,23)</f>
        <v>0</v>
      </c>
      <c r="G78" s="43">
        <f>VLOOKUP($A78,'NG-Jun-Bill'!$A$15:$X$96,23)</f>
        <v>0</v>
      </c>
      <c r="H78" s="43">
        <f>VLOOKUP($A78,'NG-Jul-Bill'!$A$15:$X$96,23)</f>
        <v>0</v>
      </c>
      <c r="I78" s="43">
        <f>VLOOKUP($A78,'NG-Aug-Bill'!$A$15:$X$96,23)</f>
        <v>0</v>
      </c>
      <c r="J78" s="43">
        <f>VLOOKUP($A78,'NG-Sept-Bill'!$A$15:$X$96,23)</f>
        <v>0</v>
      </c>
      <c r="K78" s="43">
        <f>VLOOKUP($A78,'NG-Oct-Bill'!$A$15:$X$96,23)</f>
        <v>0</v>
      </c>
      <c r="L78" s="43">
        <f>VLOOKUP($A78,'NG-Nov-Bill'!$A$15:$X$96,23)</f>
        <v>0</v>
      </c>
      <c r="M78" s="43">
        <f>VLOOKUP($A78,'NG-Dec-Bill'!$A$15:$X$96,23)</f>
        <v>0</v>
      </c>
      <c r="O78" s="43">
        <f t="shared" si="0"/>
        <v>0</v>
      </c>
    </row>
    <row r="79" spans="1:15" s="43" customFormat="1">
      <c r="A79" s="40">
        <v>5913814119</v>
      </c>
      <c r="B79" s="43">
        <f>VLOOKUP($A79,'NG-Jan-Bill'!$A$15:$X$96,23)</f>
        <v>0</v>
      </c>
      <c r="C79" s="43">
        <f>VLOOKUP($A79,'NG-Feb-Bill'!$A$15:$X$96,23)</f>
        <v>0</v>
      </c>
      <c r="D79" s="43">
        <f>VLOOKUP($A79,'NG_Mar-Bill'!$A$15:$X$96,23)</f>
        <v>0</v>
      </c>
      <c r="E79" s="43">
        <f>VLOOKUP($A79,'NG-Apr-Bill'!$A$15:$X$96,23)</f>
        <v>0</v>
      </c>
      <c r="F79" s="43">
        <f>VLOOKUP($A79,'NG-May-Bill'!$A$15:$X$96,23)</f>
        <v>0</v>
      </c>
      <c r="G79" s="43">
        <f>VLOOKUP($A79,'NG-Jun-Bill'!$A$15:$X$96,23)</f>
        <v>0</v>
      </c>
      <c r="H79" s="43">
        <f>VLOOKUP($A79,'NG-Jul-Bill'!$A$15:$X$96,23)</f>
        <v>0</v>
      </c>
      <c r="I79" s="43">
        <f>VLOOKUP($A79,'NG-Aug-Bill'!$A$15:$X$96,23)</f>
        <v>0</v>
      </c>
      <c r="J79" s="43">
        <f>VLOOKUP($A79,'NG-Sept-Bill'!$A$15:$X$96,23)</f>
        <v>0</v>
      </c>
      <c r="K79" s="43">
        <f>VLOOKUP($A79,'NG-Oct-Bill'!$A$15:$X$96,23)</f>
        <v>0</v>
      </c>
      <c r="L79" s="43">
        <f>VLOOKUP($A79,'NG-Nov-Bill'!$A$15:$X$96,23)</f>
        <v>0</v>
      </c>
      <c r="M79" s="43">
        <f>VLOOKUP($A79,'NG-Dec-Bill'!$A$15:$X$96,23)</f>
        <v>0</v>
      </c>
      <c r="O79" s="43">
        <f t="shared" si="0"/>
        <v>0</v>
      </c>
    </row>
    <row r="80" spans="1:15" s="43" customFormat="1">
      <c r="A80" s="40">
        <v>5933814115</v>
      </c>
      <c r="B80" s="43">
        <f>VLOOKUP($A80,'NG-Jan-Bill'!$A$15:$X$96,23)</f>
        <v>0</v>
      </c>
      <c r="C80" s="43">
        <f>VLOOKUP($A80,'NG-Feb-Bill'!$A$15:$X$96,23)</f>
        <v>0</v>
      </c>
      <c r="D80" s="43">
        <f>VLOOKUP($A80,'NG_Mar-Bill'!$A$15:$X$96,23)</f>
        <v>0</v>
      </c>
      <c r="E80" s="43">
        <f>VLOOKUP($A80,'NG-Apr-Bill'!$A$15:$X$96,23)</f>
        <v>0</v>
      </c>
      <c r="F80" s="43">
        <f>VLOOKUP($A80,'NG-May-Bill'!$A$15:$X$96,23)</f>
        <v>0</v>
      </c>
      <c r="G80" s="43">
        <f>VLOOKUP($A80,'NG-Jun-Bill'!$A$15:$X$96,23)</f>
        <v>0</v>
      </c>
      <c r="H80" s="43">
        <f>VLOOKUP($A80,'NG-Jul-Bill'!$A$15:$X$96,23)</f>
        <v>0</v>
      </c>
      <c r="I80" s="43">
        <f>VLOOKUP($A80,'NG-Aug-Bill'!$A$15:$X$96,23)</f>
        <v>0</v>
      </c>
      <c r="J80" s="43">
        <f>VLOOKUP($A80,'NG-Sept-Bill'!$A$15:$X$96,23)</f>
        <v>0</v>
      </c>
      <c r="K80" s="43">
        <f>VLOOKUP($A80,'NG-Oct-Bill'!$A$15:$X$96,23)</f>
        <v>0</v>
      </c>
      <c r="L80" s="43">
        <f>VLOOKUP($A80,'NG-Nov-Bill'!$A$15:$X$96,23)</f>
        <v>0</v>
      </c>
      <c r="M80" s="43">
        <f>VLOOKUP($A80,'NG-Dec-Bill'!$A$15:$X$96,23)</f>
        <v>0</v>
      </c>
      <c r="O80" s="43">
        <f t="shared" ref="O80:O96" si="1">SUM(B80:N80)</f>
        <v>0</v>
      </c>
    </row>
    <row r="81" spans="1:15" s="43" customFormat="1">
      <c r="A81" s="40">
        <v>6053820112</v>
      </c>
      <c r="B81" s="43">
        <f>VLOOKUP($A81,'NG-Jan-Bill'!$A$15:$X$96,23)</f>
        <v>0</v>
      </c>
      <c r="C81" s="43">
        <f>VLOOKUP($A81,'NG-Feb-Bill'!$A$15:$X$96,23)</f>
        <v>0</v>
      </c>
      <c r="D81" s="43">
        <f>VLOOKUP($A81,'NG_Mar-Bill'!$A$15:$X$96,23)</f>
        <v>0</v>
      </c>
      <c r="E81" s="43">
        <f>VLOOKUP($A81,'NG-Apr-Bill'!$A$15:$X$96,23)</f>
        <v>0</v>
      </c>
      <c r="F81" s="43">
        <f>VLOOKUP($A81,'NG-May-Bill'!$A$15:$X$96,23)</f>
        <v>0</v>
      </c>
      <c r="G81" s="43">
        <f>VLOOKUP($A81,'NG-Jun-Bill'!$A$15:$X$96,23)</f>
        <v>0</v>
      </c>
      <c r="H81" s="43">
        <f>VLOOKUP($A81,'NG-Jul-Bill'!$A$15:$X$96,23)</f>
        <v>0</v>
      </c>
      <c r="I81" s="43">
        <f>VLOOKUP($A81,'NG-Aug-Bill'!$A$15:$X$96,23)</f>
        <v>0</v>
      </c>
      <c r="J81" s="43">
        <f>VLOOKUP($A81,'NG-Sept-Bill'!$A$15:$X$96,23)</f>
        <v>0</v>
      </c>
      <c r="K81" s="43">
        <f>VLOOKUP($A81,'NG-Oct-Bill'!$A$15:$X$96,23)</f>
        <v>0</v>
      </c>
      <c r="L81" s="43">
        <f>VLOOKUP($A81,'NG-Nov-Bill'!$A$15:$X$96,23)</f>
        <v>0</v>
      </c>
      <c r="M81" s="43">
        <f>VLOOKUP($A81,'NG-Dec-Bill'!$A$15:$X$96,23)</f>
        <v>0</v>
      </c>
      <c r="O81" s="43">
        <f t="shared" si="1"/>
        <v>0</v>
      </c>
    </row>
    <row r="82" spans="1:15" s="43" customFormat="1">
      <c r="A82" s="40">
        <v>6173817104</v>
      </c>
      <c r="B82" s="43">
        <f>VLOOKUP($A82,'NG-Jan-Bill'!$A$15:$X$96,23)</f>
        <v>0</v>
      </c>
      <c r="C82" s="43">
        <f>VLOOKUP($A82,'NG-Feb-Bill'!$A$15:$X$96,23)</f>
        <v>0</v>
      </c>
      <c r="D82" s="43">
        <f>VLOOKUP($A82,'NG_Mar-Bill'!$A$15:$X$96,23)</f>
        <v>0</v>
      </c>
      <c r="E82" s="43">
        <f>VLOOKUP($A82,'NG-Apr-Bill'!$A$15:$X$96,23)</f>
        <v>0</v>
      </c>
      <c r="F82" s="43">
        <f>VLOOKUP($A82,'NG-May-Bill'!$A$15:$X$96,23)</f>
        <v>0</v>
      </c>
      <c r="G82" s="43">
        <f>VLOOKUP($A82,'NG-Jun-Bill'!$A$15:$X$96,23)</f>
        <v>0</v>
      </c>
      <c r="H82" s="43">
        <f>VLOOKUP($A82,'NG-Jul-Bill'!$A$15:$X$96,23)</f>
        <v>0</v>
      </c>
      <c r="I82" s="43">
        <f>VLOOKUP($A82,'NG-Aug-Bill'!$A$15:$X$96,23)</f>
        <v>0</v>
      </c>
      <c r="J82" s="43">
        <f>VLOOKUP($A82,'NG-Sept-Bill'!$A$15:$X$96,23)</f>
        <v>0</v>
      </c>
      <c r="K82" s="43">
        <f>VLOOKUP($A82,'NG-Oct-Bill'!$A$15:$X$96,23)</f>
        <v>0</v>
      </c>
      <c r="L82" s="43">
        <f>VLOOKUP($A82,'NG-Nov-Bill'!$A$15:$X$96,23)</f>
        <v>0</v>
      </c>
      <c r="M82" s="43">
        <f>VLOOKUP($A82,'NG-Dec-Bill'!$A$15:$X$96,23)</f>
        <v>0</v>
      </c>
      <c r="O82" s="43">
        <f t="shared" si="1"/>
        <v>0</v>
      </c>
    </row>
    <row r="83" spans="1:15" s="43" customFormat="1">
      <c r="A83" s="40">
        <v>6368810106</v>
      </c>
      <c r="B83" s="43">
        <f>VLOOKUP($A83,'NG-Jan-Bill'!$A$15:$X$96,23)</f>
        <v>0</v>
      </c>
      <c r="C83" s="43">
        <f>VLOOKUP($A83,'NG-Feb-Bill'!$A$15:$X$96,23)</f>
        <v>0</v>
      </c>
      <c r="D83" s="43">
        <f>VLOOKUP($A83,'NG_Mar-Bill'!$A$15:$X$96,23)</f>
        <v>0</v>
      </c>
      <c r="E83" s="43">
        <f>VLOOKUP($A83,'NG-Apr-Bill'!$A$15:$X$96,23)</f>
        <v>0</v>
      </c>
      <c r="F83" s="43">
        <f>VLOOKUP($A83,'NG-May-Bill'!$A$15:$X$96,23)</f>
        <v>0</v>
      </c>
      <c r="G83" s="43">
        <f>VLOOKUP($A83,'NG-Jun-Bill'!$A$15:$X$96,23)</f>
        <v>0</v>
      </c>
      <c r="H83" s="43">
        <f>VLOOKUP($A83,'NG-Jul-Bill'!$A$15:$X$96,23)</f>
        <v>0</v>
      </c>
      <c r="I83" s="43">
        <f>VLOOKUP($A83,'NG-Aug-Bill'!$A$15:$X$96,23)</f>
        <v>0</v>
      </c>
      <c r="J83" s="43">
        <f>VLOOKUP($A83,'NG-Sept-Bill'!$A$15:$X$96,23)</f>
        <v>0</v>
      </c>
      <c r="K83" s="43">
        <f>VLOOKUP($A83,'NG-Oct-Bill'!$A$15:$X$96,23)</f>
        <v>0</v>
      </c>
      <c r="L83" s="43">
        <f>VLOOKUP($A83,'NG-Nov-Bill'!$A$15:$X$96,23)</f>
        <v>0</v>
      </c>
      <c r="M83" s="43">
        <f>VLOOKUP($A83,'NG-Dec-Bill'!$A$15:$X$96,23)</f>
        <v>0</v>
      </c>
      <c r="O83" s="43">
        <f t="shared" si="1"/>
        <v>0</v>
      </c>
    </row>
    <row r="84" spans="1:15" s="43" customFormat="1">
      <c r="A84" s="40">
        <v>6853819124</v>
      </c>
      <c r="B84" s="43">
        <f>VLOOKUP($A84,'NG-Jan-Bill'!$A$15:$X$96,23)</f>
        <v>0</v>
      </c>
      <c r="C84" s="43">
        <f>VLOOKUP($A84,'NG-Feb-Bill'!$A$15:$X$96,23)</f>
        <v>0</v>
      </c>
      <c r="D84" s="43">
        <f>VLOOKUP($A84,'NG_Mar-Bill'!$A$15:$X$96,23)</f>
        <v>0</v>
      </c>
      <c r="E84" s="43">
        <f>VLOOKUP($A84,'NG-Apr-Bill'!$A$15:$X$96,23)</f>
        <v>0</v>
      </c>
      <c r="F84" s="43">
        <f>VLOOKUP($A84,'NG-May-Bill'!$A$15:$X$96,23)</f>
        <v>0</v>
      </c>
      <c r="G84" s="43">
        <f>VLOOKUP($A84,'NG-Jun-Bill'!$A$15:$X$96,23)</f>
        <v>0</v>
      </c>
      <c r="H84" s="43">
        <f>VLOOKUP($A84,'NG-Jul-Bill'!$A$15:$X$96,23)</f>
        <v>0</v>
      </c>
      <c r="I84" s="43">
        <f>VLOOKUP($A84,'NG-Aug-Bill'!$A$15:$X$96,23)</f>
        <v>0</v>
      </c>
      <c r="J84" s="43">
        <f>VLOOKUP($A84,'NG-Sept-Bill'!$A$15:$X$96,23)</f>
        <v>0</v>
      </c>
      <c r="K84" s="43">
        <f>VLOOKUP($A84,'NG-Oct-Bill'!$A$15:$X$96,23)</f>
        <v>0</v>
      </c>
      <c r="L84" s="43">
        <f>VLOOKUP($A84,'NG-Nov-Bill'!$A$15:$X$96,23)</f>
        <v>0</v>
      </c>
      <c r="M84" s="43">
        <f>VLOOKUP($A84,'NG-Dec-Bill'!$A$15:$X$96,23)</f>
        <v>0</v>
      </c>
      <c r="O84" s="43">
        <f t="shared" si="1"/>
        <v>0</v>
      </c>
    </row>
    <row r="85" spans="1:15" s="43" customFormat="1">
      <c r="A85" s="40">
        <v>6857311003</v>
      </c>
      <c r="B85" s="43">
        <f>VLOOKUP($A85,'NG-Jan-Bill'!$A$15:$X$96,23)</f>
        <v>0</v>
      </c>
      <c r="C85" s="43">
        <f>VLOOKUP($A85,'NG-Feb-Bill'!$A$15:$X$96,23)</f>
        <v>0</v>
      </c>
      <c r="D85" s="43">
        <f>VLOOKUP($A85,'NG_Mar-Bill'!$A$15:$X$96,23)</f>
        <v>0</v>
      </c>
      <c r="E85" s="43">
        <f>VLOOKUP($A85,'NG-Apr-Bill'!$A$15:$X$96,23)</f>
        <v>0</v>
      </c>
      <c r="F85" s="43">
        <f>VLOOKUP($A85,'NG-May-Bill'!$A$15:$X$96,23)</f>
        <v>0</v>
      </c>
      <c r="G85" s="43">
        <f>VLOOKUP($A85,'NG-Jun-Bill'!$A$15:$X$96,23)</f>
        <v>0</v>
      </c>
      <c r="H85" s="43">
        <f>VLOOKUP($A85,'NG-Jul-Bill'!$A$15:$X$96,23)</f>
        <v>0</v>
      </c>
      <c r="I85" s="43">
        <f>VLOOKUP($A85,'NG-Aug-Bill'!$A$15:$X$96,23)</f>
        <v>0</v>
      </c>
      <c r="J85" s="43">
        <f>VLOOKUP($A85,'NG-Sept-Bill'!$A$15:$X$96,23)</f>
        <v>0</v>
      </c>
      <c r="K85" s="43">
        <f>VLOOKUP($A85,'NG-Oct-Bill'!$A$15:$X$96,23)</f>
        <v>0</v>
      </c>
      <c r="L85" s="43">
        <f>VLOOKUP($A85,'NG-Nov-Bill'!$A$15:$X$96,23)</f>
        <v>0</v>
      </c>
      <c r="M85" s="43">
        <f>VLOOKUP($A85,'NG-Dec-Bill'!$A$15:$X$96,23)</f>
        <v>0</v>
      </c>
      <c r="O85" s="43">
        <f t="shared" si="1"/>
        <v>0</v>
      </c>
    </row>
    <row r="86" spans="1:15" s="43" customFormat="1">
      <c r="A86" s="40">
        <v>7312015014</v>
      </c>
      <c r="B86" s="43">
        <f>VLOOKUP($A86,'NG-Jan-Bill'!$A$15:$X$96,23)</f>
        <v>0</v>
      </c>
      <c r="C86" s="43">
        <f>VLOOKUP($A86,'NG-Feb-Bill'!$A$15:$X$96,23)</f>
        <v>0</v>
      </c>
      <c r="D86" s="43">
        <f>VLOOKUP($A86,'NG_Mar-Bill'!$A$15:$X$96,23)</f>
        <v>0</v>
      </c>
      <c r="E86" s="43">
        <f>VLOOKUP($A86,'NG-Apr-Bill'!$A$15:$X$96,23)</f>
        <v>0</v>
      </c>
      <c r="F86" s="43">
        <f>VLOOKUP($A86,'NG-May-Bill'!$A$15:$X$96,23)</f>
        <v>0</v>
      </c>
      <c r="G86" s="43">
        <f>VLOOKUP($A86,'NG-Jun-Bill'!$A$15:$X$96,23)</f>
        <v>0</v>
      </c>
      <c r="H86" s="43">
        <f>VLOOKUP($A86,'NG-Jul-Bill'!$A$15:$X$96,23)</f>
        <v>0</v>
      </c>
      <c r="I86" s="43">
        <f>VLOOKUP($A86,'NG-Aug-Bill'!$A$15:$X$96,23)</f>
        <v>0</v>
      </c>
      <c r="J86" s="43">
        <f>VLOOKUP($A86,'NG-Sept-Bill'!$A$15:$X$96,23)</f>
        <v>0</v>
      </c>
      <c r="K86" s="43">
        <f>VLOOKUP($A86,'NG-Oct-Bill'!$A$15:$X$96,23)</f>
        <v>0</v>
      </c>
      <c r="L86" s="43">
        <f>VLOOKUP($A86,'NG-Nov-Bill'!$A$15:$X$96,23)</f>
        <v>0</v>
      </c>
      <c r="M86" s="43">
        <f>VLOOKUP($A86,'NG-Dec-Bill'!$A$15:$X$96,23)</f>
        <v>0</v>
      </c>
      <c r="O86" s="43">
        <f t="shared" si="1"/>
        <v>0</v>
      </c>
    </row>
    <row r="87" spans="1:15" s="43" customFormat="1">
      <c r="A87" s="40">
        <v>8193819106</v>
      </c>
      <c r="B87" s="43">
        <f>VLOOKUP($A87,'NG-Jan-Bill'!$A$15:$X$96,23)</f>
        <v>2585</v>
      </c>
      <c r="C87" s="43">
        <f>VLOOKUP($A87,'NG-Feb-Bill'!$A$15:$X$96,23)</f>
        <v>2981</v>
      </c>
      <c r="D87" s="43">
        <f>VLOOKUP($A87,'NG_Mar-Bill'!$A$15:$X$96,23)</f>
        <v>1981</v>
      </c>
      <c r="E87" s="43">
        <f>VLOOKUP($A87,'NG-Apr-Bill'!$A$15:$X$96,23)</f>
        <v>1712</v>
      </c>
      <c r="F87" s="43">
        <f>VLOOKUP($A87,'NG-May-Bill'!$A$15:$X$96,23)</f>
        <v>361</v>
      </c>
      <c r="G87" s="43">
        <f>VLOOKUP($A87,'NG-Jun-Bill'!$A$15:$X$96,23)</f>
        <v>50</v>
      </c>
      <c r="H87" s="43">
        <f>VLOOKUP($A87,'NG-Jul-Bill'!$A$15:$X$96,23)</f>
        <v>9</v>
      </c>
      <c r="I87" s="43">
        <f>VLOOKUP($A87,'NG-Aug-Bill'!$A$15:$X$96,23)</f>
        <v>11</v>
      </c>
      <c r="J87" s="43">
        <f>VLOOKUP($A87,'NG-Sept-Bill'!$A$15:$X$96,23)</f>
        <v>13</v>
      </c>
      <c r="K87" s="43">
        <f>VLOOKUP($A87,'NG-Oct-Bill'!$A$15:$X$96,23)</f>
        <v>65</v>
      </c>
      <c r="L87" s="43">
        <f>VLOOKUP($A87,'NG-Nov-Bill'!$A$15:$X$96,23)</f>
        <v>697</v>
      </c>
      <c r="M87" s="43">
        <f>VLOOKUP($A87,'NG-Dec-Bill'!$A$15:$X$96,23)</f>
        <v>2298</v>
      </c>
      <c r="O87" s="43">
        <f t="shared" si="1"/>
        <v>12763</v>
      </c>
    </row>
    <row r="88" spans="1:15" s="43" customFormat="1">
      <c r="A88" s="40">
        <v>8714009102</v>
      </c>
      <c r="B88" s="43">
        <f>VLOOKUP($A88,'NG-Jan-Bill'!$A$15:$X$96,23)</f>
        <v>4</v>
      </c>
      <c r="C88" s="43">
        <f>VLOOKUP($A88,'NG-Feb-Bill'!$A$15:$X$96,23)</f>
        <v>3</v>
      </c>
      <c r="D88" s="43">
        <f>VLOOKUP($A88,'NG_Mar-Bill'!$A$15:$X$96,23)</f>
        <v>4</v>
      </c>
      <c r="E88" s="43">
        <f>VLOOKUP($A88,'NG-Apr-Bill'!$A$15:$X$96,23)</f>
        <v>3</v>
      </c>
      <c r="F88" s="43">
        <f>VLOOKUP($A88,'NG-May-Bill'!$A$15:$X$96,23)</f>
        <v>3</v>
      </c>
      <c r="G88" s="43">
        <f>VLOOKUP($A88,'NG-Jun-Bill'!$A$15:$X$96,23)</f>
        <v>9</v>
      </c>
      <c r="H88" s="43">
        <f>VLOOKUP($A88,'NG-Jul-Bill'!$A$15:$X$96,23)</f>
        <v>9</v>
      </c>
      <c r="I88" s="43">
        <f>VLOOKUP($A88,'NG-Aug-Bill'!$A$15:$X$96,23)</f>
        <v>6</v>
      </c>
      <c r="J88" s="43">
        <f>VLOOKUP($A88,'NG-Sept-Bill'!$A$15:$X$96,23)</f>
        <v>3</v>
      </c>
      <c r="K88" s="43">
        <f>VLOOKUP($A88,'NG-Oct-Bill'!$A$15:$X$96,23)</f>
        <v>5</v>
      </c>
      <c r="L88" s="43">
        <f>VLOOKUP($A88,'NG-Nov-Bill'!$A$15:$X$96,23)</f>
        <v>3</v>
      </c>
      <c r="M88" s="43">
        <f>VLOOKUP($A88,'NG-Dec-Bill'!$A$15:$X$96,23)</f>
        <v>4</v>
      </c>
      <c r="O88" s="43">
        <f t="shared" si="1"/>
        <v>56</v>
      </c>
    </row>
    <row r="89" spans="1:15" s="43" customFormat="1">
      <c r="A89" s="40">
        <v>8993882105</v>
      </c>
      <c r="B89" s="43">
        <f>VLOOKUP($A89,'NG-Jan-Bill'!$A$15:$X$96,23)</f>
        <v>0</v>
      </c>
      <c r="C89" s="43">
        <f>VLOOKUP($A89,'NG-Feb-Bill'!$A$15:$X$96,23)</f>
        <v>0</v>
      </c>
      <c r="D89" s="43">
        <f>VLOOKUP($A89,'NG_Mar-Bill'!$A$15:$X$96,23)</f>
        <v>0</v>
      </c>
      <c r="E89" s="43">
        <f>VLOOKUP($A89,'NG-Apr-Bill'!$A$15:$X$96,23)</f>
        <v>0</v>
      </c>
      <c r="F89" s="43">
        <f>VLOOKUP($A89,'NG-May-Bill'!$A$15:$X$96,23)</f>
        <v>0</v>
      </c>
      <c r="G89" s="43">
        <f>VLOOKUP($A89,'NG-Jun-Bill'!$A$15:$X$96,23)</f>
        <v>0</v>
      </c>
      <c r="H89" s="43">
        <f>VLOOKUP($A89,'NG-Jul-Bill'!$A$15:$X$96,23)</f>
        <v>0</v>
      </c>
      <c r="I89" s="43">
        <f>VLOOKUP($A89,'NG-Aug-Bill'!$A$15:$X$96,23)</f>
        <v>0</v>
      </c>
      <c r="J89" s="43">
        <f>VLOOKUP($A89,'NG-Sept-Bill'!$A$15:$X$96,23)</f>
        <v>0</v>
      </c>
      <c r="K89" s="43">
        <f>VLOOKUP($A89,'NG-Oct-Bill'!$A$15:$X$96,23)</f>
        <v>0</v>
      </c>
      <c r="L89" s="43">
        <f>VLOOKUP($A89,'NG-Nov-Bill'!$A$15:$X$96,23)</f>
        <v>0</v>
      </c>
      <c r="M89" s="43">
        <f>VLOOKUP($A89,'NG-Dec-Bill'!$A$15:$X$96,23)</f>
        <v>0</v>
      </c>
      <c r="O89" s="43">
        <f t="shared" si="1"/>
        <v>0</v>
      </c>
    </row>
    <row r="90" spans="1:15" s="43" customFormat="1">
      <c r="A90" s="40">
        <v>9308810101</v>
      </c>
      <c r="B90" s="43">
        <f>VLOOKUP($A90,'NG-Jan-Bill'!$A$15:$X$96,23)</f>
        <v>246</v>
      </c>
      <c r="C90" s="43">
        <f>VLOOKUP($A90,'NG-Feb-Bill'!$A$15:$X$96,23)</f>
        <v>301</v>
      </c>
      <c r="D90" s="43">
        <f>VLOOKUP($A90,'NG_Mar-Bill'!$A$15:$X$96,23)</f>
        <v>363</v>
      </c>
      <c r="E90" s="43">
        <f>VLOOKUP($A90,'NG-Apr-Bill'!$A$15:$X$96,23)</f>
        <v>254</v>
      </c>
      <c r="F90" s="43">
        <f>VLOOKUP($A90,'NG-May-Bill'!$A$15:$X$96,23)</f>
        <v>72</v>
      </c>
      <c r="G90" s="43">
        <f>VLOOKUP($A90,'NG-Jun-Bill'!$A$15:$X$96,23)</f>
        <v>14</v>
      </c>
      <c r="H90" s="43">
        <f>VLOOKUP($A90,'NG-Jul-Bill'!$A$15:$X$96,23)</f>
        <v>10</v>
      </c>
      <c r="I90" s="43">
        <f>VLOOKUP($A90,'NG-Aug-Bill'!$A$15:$X$96,23)</f>
        <v>11</v>
      </c>
      <c r="J90" s="43">
        <f>VLOOKUP($A90,'NG-Sept-Bill'!$A$15:$X$96,23)</f>
        <v>9</v>
      </c>
      <c r="K90" s="43">
        <f>VLOOKUP($A90,'NG-Oct-Bill'!$A$15:$X$96,23)</f>
        <v>22</v>
      </c>
      <c r="L90" s="43">
        <f>VLOOKUP($A90,'NG-Nov-Bill'!$A$15:$X$96,23)</f>
        <v>39</v>
      </c>
      <c r="M90" s="43">
        <f>VLOOKUP($A90,'NG-Dec-Bill'!$A$15:$X$96,23)</f>
        <v>191</v>
      </c>
      <c r="O90" s="43">
        <f t="shared" si="1"/>
        <v>1532</v>
      </c>
    </row>
    <row r="91" spans="1:15" s="43" customFormat="1">
      <c r="A91" s="40">
        <v>9428808118</v>
      </c>
      <c r="B91" s="43">
        <f>VLOOKUP($A91,'NG-Jan-Bill'!$A$15:$X$96,23)</f>
        <v>31</v>
      </c>
      <c r="C91" s="43">
        <f>VLOOKUP($A91,'NG-Feb-Bill'!$A$15:$X$96,23)</f>
        <v>53</v>
      </c>
      <c r="D91" s="43">
        <f>VLOOKUP($A91,'NG_Mar-Bill'!$A$15:$X$96,23)</f>
        <v>32</v>
      </c>
      <c r="E91" s="43">
        <f>VLOOKUP($A91,'NG-Apr-Bill'!$A$15:$X$96,23)</f>
        <v>0</v>
      </c>
      <c r="F91" s="43">
        <f>VLOOKUP($A91,'NG-May-Bill'!$A$15:$X$96,23)</f>
        <v>0</v>
      </c>
      <c r="G91" s="43">
        <f>VLOOKUP($A91,'NG-Jun-Bill'!$A$15:$X$96,23)</f>
        <v>0</v>
      </c>
      <c r="H91" s="43">
        <f>VLOOKUP($A91,'NG-Jul-Bill'!$A$15:$X$96,23)</f>
        <v>0</v>
      </c>
      <c r="I91" s="43">
        <f>VLOOKUP($A91,'NG-Aug-Bill'!$A$15:$X$96,23)</f>
        <v>0</v>
      </c>
      <c r="J91" s="43">
        <f>VLOOKUP($A91,'NG-Sept-Bill'!$A$15:$X$96,23)</f>
        <v>0</v>
      </c>
      <c r="K91" s="43">
        <f>VLOOKUP($A91,'NG-Oct-Bill'!$A$15:$X$96,23)</f>
        <v>0</v>
      </c>
      <c r="L91" s="43">
        <f>VLOOKUP($A91,'NG-Nov-Bill'!$A$15:$X$96,23)</f>
        <v>1</v>
      </c>
      <c r="M91" s="43">
        <f>VLOOKUP($A91,'NG-Dec-Bill'!$A$15:$X$96,23)</f>
        <v>3</v>
      </c>
      <c r="O91" s="43">
        <f t="shared" si="1"/>
        <v>120</v>
      </c>
    </row>
    <row r="92" spans="1:15" s="43" customFormat="1">
      <c r="A92" s="40">
        <v>9488810107</v>
      </c>
      <c r="B92" s="43">
        <f>VLOOKUP($A92,'NG-Jan-Bill'!$A$15:$X$96,23)</f>
        <v>0</v>
      </c>
      <c r="C92" s="43">
        <f>VLOOKUP($A92,'NG-Feb-Bill'!$A$15:$X$96,23)</f>
        <v>0</v>
      </c>
      <c r="D92" s="43">
        <f>VLOOKUP($A92,'NG_Mar-Bill'!$A$15:$X$96,23)</f>
        <v>0</v>
      </c>
      <c r="E92" s="43">
        <f>VLOOKUP($A92,'NG-Apr-Bill'!$A$15:$X$96,23)</f>
        <v>0</v>
      </c>
      <c r="F92" s="43">
        <f>VLOOKUP($A92,'NG-May-Bill'!$A$15:$X$96,23)</f>
        <v>0</v>
      </c>
      <c r="G92" s="43">
        <f>VLOOKUP($A92,'NG-Jun-Bill'!$A$15:$X$96,23)</f>
        <v>0</v>
      </c>
      <c r="H92" s="43">
        <f>VLOOKUP($A92,'NG-Jul-Bill'!$A$15:$X$96,23)</f>
        <v>0</v>
      </c>
      <c r="I92" s="43">
        <f>VLOOKUP($A92,'NG-Aug-Bill'!$A$15:$X$96,23)</f>
        <v>0</v>
      </c>
      <c r="J92" s="43">
        <f>VLOOKUP($A92,'NG-Sept-Bill'!$A$15:$X$96,23)</f>
        <v>0</v>
      </c>
      <c r="K92" s="43">
        <f>VLOOKUP($A92,'NG-Oct-Bill'!$A$15:$X$96,23)</f>
        <v>0</v>
      </c>
      <c r="L92" s="43">
        <f>VLOOKUP($A92,'NG-Nov-Bill'!$A$15:$X$96,23)</f>
        <v>0</v>
      </c>
      <c r="M92" s="43">
        <f>VLOOKUP($A92,'NG-Dec-Bill'!$A$15:$X$96,23)</f>
        <v>0</v>
      </c>
      <c r="O92" s="43">
        <f t="shared" si="1"/>
        <v>0</v>
      </c>
    </row>
    <row r="93" spans="1:15" s="43" customFormat="1">
      <c r="A93" s="40">
        <v>9529017113</v>
      </c>
      <c r="B93" s="43">
        <f>VLOOKUP($A93,'NG-Jan-Bill'!$A$15:$X$96,23)</f>
        <v>0</v>
      </c>
      <c r="C93" s="43">
        <f>VLOOKUP($A93,'NG-Feb-Bill'!$A$15:$X$96,23)</f>
        <v>0</v>
      </c>
      <c r="D93" s="43">
        <f>VLOOKUP($A93,'NG_Mar-Bill'!$A$15:$X$96,23)</f>
        <v>0</v>
      </c>
      <c r="E93" s="43">
        <f>VLOOKUP($A93,'NG-Apr-Bill'!$A$15:$X$96,23)</f>
        <v>0</v>
      </c>
      <c r="F93" s="43">
        <f>VLOOKUP($A93,'NG-May-Bill'!$A$15:$X$96,23)</f>
        <v>0</v>
      </c>
      <c r="G93" s="43">
        <f>VLOOKUP($A93,'NG-Jun-Bill'!$A$15:$X$96,23)</f>
        <v>0</v>
      </c>
      <c r="H93" s="43">
        <f>VLOOKUP($A93,'NG-Jul-Bill'!$A$15:$X$96,23)</f>
        <v>0</v>
      </c>
      <c r="I93" s="43">
        <f>VLOOKUP($A93,'NG-Aug-Bill'!$A$15:$X$96,23)</f>
        <v>0</v>
      </c>
      <c r="J93" s="43">
        <f>VLOOKUP($A93,'NG-Sept-Bill'!$A$15:$X$96,23)</f>
        <v>0</v>
      </c>
      <c r="K93" s="43">
        <f>VLOOKUP($A93,'NG-Oct-Bill'!$A$15:$X$96,23)</f>
        <v>0</v>
      </c>
      <c r="L93" s="43">
        <f>VLOOKUP($A93,'NG-Nov-Bill'!$A$15:$X$96,23)</f>
        <v>0</v>
      </c>
      <c r="M93" s="43">
        <f>VLOOKUP($A93,'NG-Dec-Bill'!$A$15:$X$96,23)</f>
        <v>0</v>
      </c>
      <c r="O93" s="43">
        <f t="shared" si="1"/>
        <v>0</v>
      </c>
    </row>
    <row r="94" spans="1:15" s="43" customFormat="1">
      <c r="A94" s="40">
        <v>9753819107</v>
      </c>
      <c r="B94" s="43">
        <f>VLOOKUP($A94,'NG-Jan-Bill'!$A$15:$X$96,23)</f>
        <v>742</v>
      </c>
      <c r="C94" s="43">
        <f>VLOOKUP($A94,'NG-Feb-Bill'!$A$15:$X$96,23)</f>
        <v>842</v>
      </c>
      <c r="D94" s="43">
        <f>VLOOKUP($A94,'NG_Mar-Bill'!$A$15:$X$96,23)</f>
        <v>598</v>
      </c>
      <c r="E94" s="43">
        <f>VLOOKUP($A94,'NG-Apr-Bill'!$A$15:$X$96,23)</f>
        <v>480</v>
      </c>
      <c r="F94" s="43">
        <f>VLOOKUP($A94,'NG-May-Bill'!$A$15:$X$96,23)</f>
        <v>82</v>
      </c>
      <c r="G94" s="43">
        <f>VLOOKUP($A94,'NG-Jun-Bill'!$A$15:$X$96,23)</f>
        <v>0</v>
      </c>
      <c r="H94" s="43">
        <f>VLOOKUP($A94,'NG-Jul-Bill'!$A$15:$X$96,23)</f>
        <v>0</v>
      </c>
      <c r="I94" s="43">
        <f>VLOOKUP($A94,'NG-Aug-Bill'!$A$15:$X$96,23)</f>
        <v>0</v>
      </c>
      <c r="J94" s="43">
        <f>VLOOKUP($A94,'NG-Sept-Bill'!$A$15:$X$96,23)</f>
        <v>0</v>
      </c>
      <c r="K94" s="43">
        <f>VLOOKUP($A94,'NG-Oct-Bill'!$A$15:$X$96,23)</f>
        <v>0</v>
      </c>
      <c r="L94" s="43">
        <f>VLOOKUP($A94,'NG-Nov-Bill'!$A$15:$X$96,23)</f>
        <v>297</v>
      </c>
      <c r="M94" s="43">
        <f>VLOOKUP($A94,'NG-Dec-Bill'!$A$15:$X$96,23)</f>
        <v>697</v>
      </c>
      <c r="O94" s="43">
        <f t="shared" si="1"/>
        <v>3738</v>
      </c>
    </row>
    <row r="95" spans="1:15" s="43" customFormat="1">
      <c r="A95" s="40">
        <v>9753820119</v>
      </c>
      <c r="B95" s="43">
        <f>VLOOKUP($A95,'NG-Jan-Bill'!$A$15:$X$96,23)</f>
        <v>0</v>
      </c>
      <c r="C95" s="43">
        <f>VLOOKUP($A95,'NG-Feb-Bill'!$A$15:$X$96,23)</f>
        <v>0</v>
      </c>
      <c r="D95" s="43">
        <f>VLOOKUP($A95,'NG_Mar-Bill'!$A$15:$X$96,23)</f>
        <v>0</v>
      </c>
      <c r="E95" s="43">
        <f>VLOOKUP($A95,'NG-Apr-Bill'!$A$15:$X$96,23)</f>
        <v>0</v>
      </c>
      <c r="F95" s="43">
        <f>VLOOKUP($A95,'NG-May-Bill'!$A$15:$X$96,23)</f>
        <v>0</v>
      </c>
      <c r="G95" s="43">
        <f>VLOOKUP($A95,'NG-Jun-Bill'!$A$15:$X$96,23)</f>
        <v>0</v>
      </c>
      <c r="H95" s="43">
        <f>VLOOKUP($A95,'NG-Jul-Bill'!$A$15:$X$96,23)</f>
        <v>0</v>
      </c>
      <c r="I95" s="43">
        <f>VLOOKUP($A95,'NG-Aug-Bill'!$A$15:$X$96,23)</f>
        <v>0</v>
      </c>
      <c r="J95" s="43">
        <f>VLOOKUP($A95,'NG-Sept-Bill'!$A$15:$X$96,23)</f>
        <v>0</v>
      </c>
      <c r="K95" s="43">
        <f>VLOOKUP($A95,'NG-Oct-Bill'!$A$15:$X$96,23)</f>
        <v>0</v>
      </c>
      <c r="L95" s="43">
        <f>VLOOKUP($A95,'NG-Nov-Bill'!$A$15:$X$96,23)</f>
        <v>0</v>
      </c>
      <c r="M95" s="43">
        <f>VLOOKUP($A95,'NG-Dec-Bill'!$A$15:$X$96,23)</f>
        <v>0</v>
      </c>
      <c r="O95" s="43">
        <f t="shared" si="1"/>
        <v>0</v>
      </c>
    </row>
    <row r="96" spans="1:15" s="43" customFormat="1">
      <c r="A96" s="40">
        <v>9953820104</v>
      </c>
      <c r="B96" s="43">
        <f>VLOOKUP($A96,'NG-Jan-Bill'!$A$15:$X$96,23)</f>
        <v>0</v>
      </c>
      <c r="C96" s="43">
        <f>VLOOKUP($A96,'NG-Feb-Bill'!$A$15:$X$96,23)</f>
        <v>0</v>
      </c>
      <c r="D96" s="43">
        <f>VLOOKUP($A96,'NG_Mar-Bill'!$A$15:$X$96,23)</f>
        <v>0</v>
      </c>
      <c r="E96" s="43">
        <f>VLOOKUP($A96,'NG-Apr-Bill'!$A$15:$X$96,23)</f>
        <v>0</v>
      </c>
      <c r="F96" s="43">
        <f>VLOOKUP($A96,'NG-May-Bill'!$A$15:$X$96,23)</f>
        <v>0</v>
      </c>
      <c r="G96" s="43">
        <f>VLOOKUP($A96,'NG-Jun-Bill'!$A$15:$X$96,23)</f>
        <v>0</v>
      </c>
      <c r="H96" s="43">
        <f>VLOOKUP($A96,'NG-Jul-Bill'!$A$15:$X$96,23)</f>
        <v>0</v>
      </c>
      <c r="I96" s="43">
        <f>VLOOKUP($A96,'NG-Aug-Bill'!$A$15:$X$96,23)</f>
        <v>0</v>
      </c>
      <c r="J96" s="43">
        <f>VLOOKUP($A96,'NG-Sept-Bill'!$A$15:$X$96,23)</f>
        <v>0</v>
      </c>
      <c r="K96" s="43">
        <f>VLOOKUP($A96,'NG-Oct-Bill'!$A$15:$X$96,23)</f>
        <v>0</v>
      </c>
      <c r="L96" s="43">
        <f>VLOOKUP($A96,'NG-Nov-Bill'!$A$15:$X$96,23)</f>
        <v>0</v>
      </c>
      <c r="M96" s="43">
        <f>VLOOKUP($A96,'NG-Dec-Bill'!$A$15:$X$96,23)</f>
        <v>0</v>
      </c>
      <c r="O96" s="43">
        <f t="shared" si="1"/>
        <v>0</v>
      </c>
    </row>
  </sheetData>
  <phoneticPr fontId="7"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23</vt:i4>
      </vt:variant>
    </vt:vector>
  </HeadingPairs>
  <TitlesOfParts>
    <vt:vector size="23" baseType="lpstr">
      <vt:lpstr>Town Categories</vt:lpstr>
      <vt:lpstr>Tables and Figures</vt:lpstr>
      <vt:lpstr>Nat Gas and Electricity</vt:lpstr>
      <vt:lpstr>Fuel Oil and Propane</vt:lpstr>
      <vt:lpstr>Vehicle Fleet</vt:lpstr>
      <vt:lpstr>Reference</vt:lpstr>
      <vt:lpstr>NG Elec KWH Annual</vt:lpstr>
      <vt:lpstr>NG Elec Cost Annual</vt:lpstr>
      <vt:lpstr>NG Nat. Gas Therms Annual</vt:lpstr>
      <vt:lpstr>NG Nat. Gas Cost Annual</vt:lpstr>
      <vt:lpstr>NG Acct Master List</vt:lpstr>
      <vt:lpstr>NG-Jan-Bill</vt:lpstr>
      <vt:lpstr>NG-Feb-Bill</vt:lpstr>
      <vt:lpstr>NG_Mar-Bill</vt:lpstr>
      <vt:lpstr>NG-Apr-Bill</vt:lpstr>
      <vt:lpstr>NG-May-Bill</vt:lpstr>
      <vt:lpstr>NG-Jun-Bill</vt:lpstr>
      <vt:lpstr>NG-Jul-Bill</vt:lpstr>
      <vt:lpstr>NG-Aug-Bill</vt:lpstr>
      <vt:lpstr>NG-Sept-Bill</vt:lpstr>
      <vt:lpstr>NG-Oct-Bill</vt:lpstr>
      <vt:lpstr>NG-Nov-Bill</vt:lpstr>
      <vt:lpstr>NG-Dec-Bill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dc:creator>
  <cp:lastModifiedBy>Dazzle Ekblad</cp:lastModifiedBy>
  <cp:lastPrinted>2014-04-15T14:50:10Z</cp:lastPrinted>
  <dcterms:created xsi:type="dcterms:W3CDTF">2014-03-12T21:12:16Z</dcterms:created>
  <dcterms:modified xsi:type="dcterms:W3CDTF">2014-05-20T17:48:11Z</dcterms:modified>
</cp:coreProperties>
</file>